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https://d.docs.live.net/706a18e06d2e8a62/Documents/software/masters/bv/2025/"/>
    </mc:Choice>
  </mc:AlternateContent>
  <xr:revisionPtr revIDLastSave="15" documentId="8_{CC68F58C-762E-4F5F-BE51-36480C90F00C}" xr6:coauthVersionLast="47" xr6:coauthVersionMax="47" xr10:uidLastSave="{2B0AC4CB-EBE8-4C19-A9B7-1BD31E9C6179}"/>
  <bookViews>
    <workbookView xWindow="-110" yWindow="-110" windowWidth="19420" windowHeight="12220" tabRatio="599" xr2:uid="{00000000-000D-0000-FFFF-FFFF00000000}"/>
  </bookViews>
  <sheets>
    <sheet name="Welcome" sheetId="49" r:id="rId1"/>
    <sheet name="Input" sheetId="31" r:id="rId2"/>
    <sheet name="Sensitivity Analysis" sheetId="34" r:id="rId3"/>
    <sheet name="Valuation Analysis" sheetId="28" r:id="rId4"/>
    <sheet name="Expected Results" sheetId="36" r:id="rId5"/>
    <sheet name="Optimistic Results" sheetId="38" r:id="rId6"/>
    <sheet name="Pessimistic Results" sheetId="37" r:id="rId7"/>
    <sheet name="Forecast Revenue Chart" sheetId="39" r:id="rId8"/>
    <sheet name="Forecast Return Chart" sheetId="40" r:id="rId9"/>
    <sheet name="Operating Surplus Chart" sheetId="41" r:id="rId10"/>
    <sheet name="Surplus &amp; Return % Chart" sheetId="30" r:id="rId11"/>
    <sheet name="Instructions" sheetId="17" r:id="rId12"/>
    <sheet name="Worksheet" sheetId="32" state="hidden" r:id="rId13"/>
    <sheet name="scratch" sheetId="48" state="hidden" r:id="rId14"/>
  </sheets>
  <definedNames>
    <definedName name="buyurl">Welcome!$B$13</definedName>
    <definedName name="copy">Welcome!$B$24</definedName>
    <definedName name="inbusname">Input!$C$11:$E$11</definedName>
    <definedName name="inbusrev">Input!$C$13</definedName>
    <definedName name="infixcost">Input!$C$25:$C$30</definedName>
    <definedName name="inmonper">Input!$C$15</definedName>
    <definedName name="invarcost">Input!$C$17:$C$22</definedName>
    <definedName name="licCode">Welcome!$C$19</definedName>
    <definedName name="licEmail">Welcome!$C$18</definedName>
    <definedName name="_xlnm.Print_Area" localSheetId="4">'Expected Results'!$A$1:$H$57</definedName>
    <definedName name="_xlnm.Print_Area" localSheetId="1">Input!$A$1:$G$77</definedName>
    <definedName name="_xlnm.Print_Area" localSheetId="11">Instructions!$B$1:$D$82</definedName>
    <definedName name="_xlnm.Print_Area" localSheetId="5">'Optimistic Results'!$A$1:$H$57</definedName>
    <definedName name="_xlnm.Print_Area" localSheetId="6">'Pessimistic Results'!$A$1:$H$57</definedName>
    <definedName name="_xlnm.Print_Area" localSheetId="2">'Sensitivity Analysis'!$A$1:$H$30</definedName>
    <definedName name="_xlnm.Print_Area" localSheetId="3">'Valuation Analysis'!$A$1:$H$34</definedName>
    <definedName name="status">scratch!$C$56</definedName>
    <definedName name="title">Welcome!$B$1</definedName>
    <definedName name="validTo">Welcome!$C$20</definedName>
  </definedNames>
  <calcPr calcId="191029"/>
  <customWorkbookViews>
    <customWorkbookView name="Decision Assistant" guid="{5C56E142-F65F-11D3-8364-85A39FD5096C}" maximized="1" windowWidth="794" windowHeight="437" tabRatio="599"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1" l="1"/>
  <c r="B5" i="34"/>
  <c r="B5" i="28"/>
  <c r="B2" i="36"/>
  <c r="B2" i="37"/>
  <c r="B2" i="17"/>
  <c r="B81" i="17"/>
  <c r="B56" i="37"/>
  <c r="B56" i="38"/>
  <c r="B56" i="36"/>
  <c r="B33" i="28"/>
  <c r="B29" i="34"/>
  <c r="B76" i="31"/>
  <c r="B2" i="38"/>
  <c r="G58" i="48"/>
  <c r="C59" i="48"/>
  <c r="C60" i="48"/>
  <c r="C61" i="48"/>
  <c r="C62" i="48"/>
  <c r="C63" i="48"/>
  <c r="C64" i="48"/>
  <c r="C65" i="48"/>
  <c r="C66" i="48"/>
  <c r="C67" i="48"/>
  <c r="C68" i="48"/>
  <c r="C69" i="48"/>
  <c r="C70" i="48"/>
  <c r="C71" i="48"/>
  <c r="C72" i="48"/>
  <c r="C73" i="48"/>
  <c r="C74" i="48"/>
  <c r="C75" i="48"/>
  <c r="C76" i="48"/>
  <c r="C77" i="48"/>
  <c r="C78" i="48"/>
  <c r="C79" i="48"/>
  <c r="C80" i="48"/>
  <c r="C81" i="48"/>
  <c r="C82" i="48"/>
  <c r="C83" i="48"/>
  <c r="C84" i="48"/>
  <c r="C85" i="48"/>
  <c r="C86" i="48"/>
  <c r="C87" i="48"/>
  <c r="C88" i="48"/>
  <c r="C89" i="48"/>
  <c r="C90" i="48"/>
  <c r="C91" i="48"/>
  <c r="C92" i="48"/>
  <c r="C93" i="48"/>
  <c r="C94" i="48"/>
  <c r="C95" i="48"/>
  <c r="C96" i="48"/>
  <c r="C97" i="48"/>
  <c r="C98" i="48"/>
  <c r="C99" i="48"/>
  <c r="C100" i="48"/>
  <c r="C101" i="48"/>
  <c r="C102" i="48"/>
  <c r="C103" i="48"/>
  <c r="C104" i="48"/>
  <c r="C105" i="48"/>
  <c r="C106" i="48"/>
  <c r="C107" i="48"/>
  <c r="B60" i="48"/>
  <c r="B61" i="48"/>
  <c r="B62" i="48" s="1"/>
  <c r="B63" i="48" s="1"/>
  <c r="B64" i="48" s="1"/>
  <c r="B65" i="48" s="1"/>
  <c r="B66" i="48" s="1"/>
  <c r="B67" i="48" s="1"/>
  <c r="B68" i="48" s="1"/>
  <c r="B69" i="48" s="1"/>
  <c r="B70" i="48" s="1"/>
  <c r="B71" i="48" s="1"/>
  <c r="B72" i="48" s="1"/>
  <c r="B73" i="48" s="1"/>
  <c r="B74" i="48" s="1"/>
  <c r="B75" i="48" s="1"/>
  <c r="B76" i="48" s="1"/>
  <c r="B77" i="48" s="1"/>
  <c r="B78" i="48" s="1"/>
  <c r="B79" i="48" s="1"/>
  <c r="B80" i="48" s="1"/>
  <c r="B81" i="48" s="1"/>
  <c r="B59" i="48"/>
  <c r="C58" i="48"/>
  <c r="D46" i="48"/>
  <c r="D45" i="48"/>
  <c r="D44" i="48"/>
  <c r="D43" i="48"/>
  <c r="B43" i="48"/>
  <c r="B44" i="48" s="1"/>
  <c r="D42" i="48"/>
  <c r="B42" i="48"/>
  <c r="E42" i="48" s="1"/>
  <c r="B54" i="48"/>
  <c r="B53" i="48"/>
  <c r="D60" i="31"/>
  <c r="G59" i="48" l="1"/>
  <c r="H58" i="48"/>
  <c r="I58" i="48" s="1"/>
  <c r="J58" i="48" s="1"/>
  <c r="B82" i="48"/>
  <c r="B83" i="48" s="1"/>
  <c r="B84" i="48" s="1"/>
  <c r="B85" i="48" s="1"/>
  <c r="B86" i="48" s="1"/>
  <c r="B87" i="48" s="1"/>
  <c r="B88" i="48" s="1"/>
  <c r="B89" i="48" s="1"/>
  <c r="B90" i="48" s="1"/>
  <c r="B91" i="48" s="1"/>
  <c r="B92" i="48" s="1"/>
  <c r="B93" i="48" s="1"/>
  <c r="B94" i="48" s="1"/>
  <c r="B95" i="48" s="1"/>
  <c r="B96" i="48" s="1"/>
  <c r="B97" i="48" s="1"/>
  <c r="B98" i="48" s="1"/>
  <c r="B99" i="48" s="1"/>
  <c r="B100" i="48" s="1"/>
  <c r="B101" i="48" s="1"/>
  <c r="B102" i="48" s="1"/>
  <c r="B103" i="48" s="1"/>
  <c r="B104" i="48" s="1"/>
  <c r="B105" i="48" s="1"/>
  <c r="B106" i="48" s="1"/>
  <c r="B107" i="48" s="1"/>
  <c r="B45" i="48"/>
  <c r="E44" i="48"/>
  <c r="E43" i="48"/>
  <c r="G60" i="48" l="1"/>
  <c r="H59" i="48"/>
  <c r="I59" i="48" s="1"/>
  <c r="J59" i="48" s="1"/>
  <c r="B46" i="48"/>
  <c r="E46" i="48" s="1"/>
  <c r="E41" i="48" s="1"/>
  <c r="E45" i="48"/>
  <c r="B58" i="48"/>
  <c r="D58" i="48" s="1"/>
  <c r="H60" i="48" l="1"/>
  <c r="I60" i="48" s="1"/>
  <c r="J60" i="48" s="1"/>
  <c r="G61" i="48"/>
  <c r="E58" i="48"/>
  <c r="H61" i="48" l="1"/>
  <c r="I61" i="48" s="1"/>
  <c r="J61" i="48" s="1"/>
  <c r="G62" i="48"/>
  <c r="D59" i="48"/>
  <c r="E59" i="48" s="1"/>
  <c r="G63" i="48" l="1"/>
  <c r="H62" i="48"/>
  <c r="I62" i="48" s="1"/>
  <c r="J62" i="48" s="1"/>
  <c r="D60" i="48"/>
  <c r="E60" i="48" s="1"/>
  <c r="G64" i="48" l="1"/>
  <c r="H63" i="48"/>
  <c r="I63" i="48" s="1"/>
  <c r="J63" i="48" s="1"/>
  <c r="D61" i="48"/>
  <c r="E61" i="48" s="1"/>
  <c r="H64" i="48" l="1"/>
  <c r="I64" i="48" s="1"/>
  <c r="J64" i="48" s="1"/>
  <c r="G65" i="48"/>
  <c r="D62" i="48"/>
  <c r="E62" i="48" s="1"/>
  <c r="H65" i="48" l="1"/>
  <c r="I65" i="48" s="1"/>
  <c r="J65" i="48" s="1"/>
  <c r="G66" i="48"/>
  <c r="D63" i="48"/>
  <c r="E63" i="48" s="1"/>
  <c r="G67" i="48" l="1"/>
  <c r="H66" i="48"/>
  <c r="I66" i="48" s="1"/>
  <c r="J66" i="48" s="1"/>
  <c r="D64" i="48"/>
  <c r="E64" i="48" s="1"/>
  <c r="G68" i="48" l="1"/>
  <c r="H67" i="48"/>
  <c r="I67" i="48" s="1"/>
  <c r="J67" i="48" s="1"/>
  <c r="D65" i="48"/>
  <c r="E65" i="48" s="1"/>
  <c r="H68" i="48" l="1"/>
  <c r="I68" i="48" s="1"/>
  <c r="J68" i="48" s="1"/>
  <c r="G69" i="48"/>
  <c r="D66" i="48"/>
  <c r="E66" i="48" s="1"/>
  <c r="H69" i="48" l="1"/>
  <c r="I69" i="48" s="1"/>
  <c r="J69" i="48" s="1"/>
  <c r="G70" i="48"/>
  <c r="D67" i="48"/>
  <c r="E67" i="48" s="1"/>
  <c r="G71" i="48" l="1"/>
  <c r="H70" i="48"/>
  <c r="I70" i="48" s="1"/>
  <c r="J70" i="48" s="1"/>
  <c r="D68" i="48"/>
  <c r="E68" i="48" s="1"/>
  <c r="G72" i="48" l="1"/>
  <c r="H71" i="48"/>
  <c r="I71" i="48" s="1"/>
  <c r="J71" i="48" s="1"/>
  <c r="D69" i="48"/>
  <c r="E69" i="48" s="1"/>
  <c r="H72" i="48" l="1"/>
  <c r="I72" i="48" s="1"/>
  <c r="J72" i="48" s="1"/>
  <c r="G73" i="48"/>
  <c r="D70" i="48"/>
  <c r="E70" i="48" s="1"/>
  <c r="H73" i="48" l="1"/>
  <c r="I73" i="48" s="1"/>
  <c r="J73" i="48" s="1"/>
  <c r="G74" i="48"/>
  <c r="D71" i="48"/>
  <c r="E71" i="48" s="1"/>
  <c r="G75" i="48" l="1"/>
  <c r="H74" i="48"/>
  <c r="I74" i="48" s="1"/>
  <c r="J74" i="48" s="1"/>
  <c r="D72" i="48"/>
  <c r="E72" i="48" s="1"/>
  <c r="H75" i="48" l="1"/>
  <c r="I75" i="48" s="1"/>
  <c r="J75" i="48" s="1"/>
  <c r="G76" i="48"/>
  <c r="D73" i="48"/>
  <c r="E73" i="48" s="1"/>
  <c r="G77" i="48" l="1"/>
  <c r="H76" i="48"/>
  <c r="I76" i="48" s="1"/>
  <c r="J76" i="48" s="1"/>
  <c r="D74" i="48"/>
  <c r="E74" i="48" s="1"/>
  <c r="H77" i="48" l="1"/>
  <c r="I77" i="48" s="1"/>
  <c r="J77" i="48" s="1"/>
  <c r="G78" i="48"/>
  <c r="D75" i="48"/>
  <c r="E75" i="48" s="1"/>
  <c r="G79" i="48" l="1"/>
  <c r="H78" i="48"/>
  <c r="I78" i="48" s="1"/>
  <c r="J78" i="48" s="1"/>
  <c r="D76" i="48"/>
  <c r="E76" i="48" s="1"/>
  <c r="H79" i="48" l="1"/>
  <c r="I79" i="48" s="1"/>
  <c r="J79" i="48" s="1"/>
  <c r="G80" i="48"/>
  <c r="D77" i="48"/>
  <c r="E77" i="48" s="1"/>
  <c r="G81" i="48" l="1"/>
  <c r="H80" i="48"/>
  <c r="I80" i="48" s="1"/>
  <c r="J80" i="48" s="1"/>
  <c r="D78" i="48"/>
  <c r="E78" i="48" s="1"/>
  <c r="H81" i="48" l="1"/>
  <c r="I81" i="48" s="1"/>
  <c r="J81" i="48" s="1"/>
  <c r="G82" i="48"/>
  <c r="D79" i="48"/>
  <c r="E79" i="48" s="1"/>
  <c r="G83" i="48" l="1"/>
  <c r="H82" i="48"/>
  <c r="I82" i="48" s="1"/>
  <c r="J82" i="48" s="1"/>
  <c r="D80" i="48"/>
  <c r="E80" i="48" s="1"/>
  <c r="H83" i="48" l="1"/>
  <c r="I83" i="48" s="1"/>
  <c r="J83" i="48" s="1"/>
  <c r="G84" i="48"/>
  <c r="D81" i="48"/>
  <c r="E81" i="48" s="1"/>
  <c r="G85" i="48" l="1"/>
  <c r="H84" i="48"/>
  <c r="I84" i="48" s="1"/>
  <c r="J84" i="48" s="1"/>
  <c r="D82" i="48"/>
  <c r="E82" i="48" s="1"/>
  <c r="H85" i="48" l="1"/>
  <c r="I85" i="48" s="1"/>
  <c r="J85" i="48" s="1"/>
  <c r="G86" i="48"/>
  <c r="D83" i="48"/>
  <c r="E83" i="48" s="1"/>
  <c r="G87" i="48" l="1"/>
  <c r="H86" i="48"/>
  <c r="I86" i="48" s="1"/>
  <c r="J86" i="48" s="1"/>
  <c r="D84" i="48"/>
  <c r="E84" i="48" s="1"/>
  <c r="H87" i="48" l="1"/>
  <c r="I87" i="48" s="1"/>
  <c r="J87" i="48" s="1"/>
  <c r="G88" i="48"/>
  <c r="D85" i="48"/>
  <c r="E85" i="48" s="1"/>
  <c r="G89" i="48" l="1"/>
  <c r="H88" i="48"/>
  <c r="I88" i="48" s="1"/>
  <c r="J88" i="48" s="1"/>
  <c r="D86" i="48"/>
  <c r="E86" i="48" s="1"/>
  <c r="H89" i="48" l="1"/>
  <c r="I89" i="48" s="1"/>
  <c r="J89" i="48" s="1"/>
  <c r="G90" i="48"/>
  <c r="D87" i="48"/>
  <c r="E87" i="48" s="1"/>
  <c r="G91" i="48" l="1"/>
  <c r="H90" i="48"/>
  <c r="I90" i="48" s="1"/>
  <c r="J90" i="48" s="1"/>
  <c r="D88" i="48"/>
  <c r="E88" i="48" s="1"/>
  <c r="H91" i="48" l="1"/>
  <c r="I91" i="48" s="1"/>
  <c r="J91" i="48" s="1"/>
  <c r="G92" i="48"/>
  <c r="D89" i="48"/>
  <c r="E89" i="48" s="1"/>
  <c r="G93" i="48" l="1"/>
  <c r="H92" i="48"/>
  <c r="I92" i="48" s="1"/>
  <c r="J92" i="48" s="1"/>
  <c r="D90" i="48"/>
  <c r="E90" i="48" s="1"/>
  <c r="H93" i="48" l="1"/>
  <c r="I93" i="48" s="1"/>
  <c r="J93" i="48" s="1"/>
  <c r="G94" i="48"/>
  <c r="D91" i="48"/>
  <c r="E91" i="48" s="1"/>
  <c r="G95" i="48" l="1"/>
  <c r="H94" i="48"/>
  <c r="I94" i="48" s="1"/>
  <c r="J94" i="48" s="1"/>
  <c r="D92" i="48"/>
  <c r="E92" i="48" s="1"/>
  <c r="H95" i="48" l="1"/>
  <c r="I95" i="48" s="1"/>
  <c r="J95" i="48" s="1"/>
  <c r="G96" i="48"/>
  <c r="D93" i="48"/>
  <c r="E93" i="48" s="1"/>
  <c r="G97" i="48" l="1"/>
  <c r="H96" i="48"/>
  <c r="I96" i="48" s="1"/>
  <c r="J96" i="48" s="1"/>
  <c r="D94" i="48"/>
  <c r="E94" i="48" s="1"/>
  <c r="H97" i="48" l="1"/>
  <c r="I97" i="48" s="1"/>
  <c r="J97" i="48" s="1"/>
  <c r="G98" i="48"/>
  <c r="D95" i="48"/>
  <c r="E95" i="48" s="1"/>
  <c r="G99" i="48" l="1"/>
  <c r="H98" i="48"/>
  <c r="I98" i="48" s="1"/>
  <c r="J98" i="48" s="1"/>
  <c r="D96" i="48"/>
  <c r="E96" i="48" s="1"/>
  <c r="H99" i="48" l="1"/>
  <c r="I99" i="48" s="1"/>
  <c r="J99" i="48" s="1"/>
  <c r="G100" i="48"/>
  <c r="D97" i="48"/>
  <c r="E97" i="48" s="1"/>
  <c r="G101" i="48" l="1"/>
  <c r="H100" i="48"/>
  <c r="I100" i="48" s="1"/>
  <c r="J100" i="48" s="1"/>
  <c r="D98" i="48"/>
  <c r="E98" i="48" s="1"/>
  <c r="H101" i="48" l="1"/>
  <c r="I101" i="48" s="1"/>
  <c r="J101" i="48" s="1"/>
  <c r="G102" i="48"/>
  <c r="D99" i="48"/>
  <c r="E99" i="48" s="1"/>
  <c r="G103" i="48" l="1"/>
  <c r="H102" i="48"/>
  <c r="I102" i="48" s="1"/>
  <c r="J102" i="48" s="1"/>
  <c r="D100" i="48"/>
  <c r="E100" i="48" s="1"/>
  <c r="H103" i="48" l="1"/>
  <c r="I103" i="48" s="1"/>
  <c r="J103" i="48" s="1"/>
  <c r="G104" i="48"/>
  <c r="D101" i="48"/>
  <c r="E101" i="48" s="1"/>
  <c r="G105" i="48" l="1"/>
  <c r="H104" i="48"/>
  <c r="I104" i="48" s="1"/>
  <c r="J104" i="48" s="1"/>
  <c r="D102" i="48"/>
  <c r="E102" i="48" s="1"/>
  <c r="H105" i="48" l="1"/>
  <c r="I105" i="48" s="1"/>
  <c r="J105" i="48" s="1"/>
  <c r="G106" i="48"/>
  <c r="D103" i="48"/>
  <c r="E103" i="48" s="1"/>
  <c r="H106" i="48" l="1"/>
  <c r="I106" i="48" s="1"/>
  <c r="J106" i="48" s="1"/>
  <c r="G107" i="48"/>
  <c r="D104" i="48"/>
  <c r="E104" i="48" s="1"/>
  <c r="H107" i="48" l="1"/>
  <c r="I107" i="48" s="1"/>
  <c r="J107" i="48" s="1"/>
  <c r="J57" i="48" s="1"/>
  <c r="J56" i="48" s="1"/>
  <c r="D105" i="48"/>
  <c r="E105" i="48" s="1"/>
  <c r="D106" i="48" l="1"/>
  <c r="E106" i="48" s="1"/>
  <c r="D107" i="48" l="1"/>
  <c r="E107" i="48" s="1"/>
  <c r="E57" i="48" s="1"/>
  <c r="C54" i="48" s="1"/>
  <c r="C55" i="48" l="1"/>
  <c r="B55" i="48" l="1"/>
  <c r="B3" i="36"/>
  <c r="B10" i="36"/>
  <c r="B12" i="36"/>
  <c r="B14" i="36"/>
  <c r="B16" i="36"/>
  <c r="B18" i="36"/>
  <c r="B20" i="36"/>
  <c r="B28" i="36"/>
  <c r="B30" i="36"/>
  <c r="B32" i="36"/>
  <c r="B34" i="36"/>
  <c r="B36" i="36"/>
  <c r="B38" i="36"/>
  <c r="B49" i="36"/>
  <c r="C56" i="36"/>
  <c r="D56" i="36"/>
  <c r="E56" i="36"/>
  <c r="F56" i="36"/>
  <c r="G56" i="36"/>
  <c r="D15" i="31"/>
  <c r="D19" i="31" s="1"/>
  <c r="C23" i="31"/>
  <c r="C32" i="31" s="1"/>
  <c r="C33" i="31" s="1"/>
  <c r="D33" i="31" s="1"/>
  <c r="D28" i="31"/>
  <c r="C31" i="31"/>
  <c r="D31" i="31" s="1"/>
  <c r="B10" i="17"/>
  <c r="B11" i="17"/>
  <c r="B12"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7" i="17"/>
  <c r="B58" i="17"/>
  <c r="B59" i="17"/>
  <c r="B63" i="17"/>
  <c r="B64" i="17"/>
  <c r="B72" i="17"/>
  <c r="B73" i="17"/>
  <c r="B74" i="17"/>
  <c r="B75" i="17"/>
  <c r="B76" i="17"/>
  <c r="B77" i="17"/>
  <c r="B78" i="17"/>
  <c r="B79" i="17"/>
  <c r="B80" i="17"/>
  <c r="B3" i="38"/>
  <c r="B49" i="38"/>
  <c r="C56" i="38"/>
  <c r="D56" i="38"/>
  <c r="E56" i="38"/>
  <c r="F56" i="38"/>
  <c r="G56" i="38"/>
  <c r="B3" i="37"/>
  <c r="B49" i="37"/>
  <c r="C56" i="37"/>
  <c r="D56" i="37"/>
  <c r="E56" i="37"/>
  <c r="F56" i="37"/>
  <c r="G56" i="37"/>
  <c r="C29" i="34"/>
  <c r="D29" i="34"/>
  <c r="E29" i="34"/>
  <c r="F29" i="34"/>
  <c r="G29" i="34"/>
  <c r="D8" i="28"/>
  <c r="F8" i="28"/>
  <c r="D11" i="28"/>
  <c r="F11" i="28"/>
  <c r="B20" i="28"/>
  <c r="B22" i="28"/>
  <c r="C31" i="28"/>
  <c r="C33" i="28"/>
  <c r="D33" i="28"/>
  <c r="E33" i="28"/>
  <c r="F33" i="28"/>
  <c r="G33" i="28"/>
  <c r="K2" i="32"/>
  <c r="C3" i="38" s="1"/>
  <c r="R2" i="32"/>
  <c r="C3" i="37" s="1"/>
  <c r="B3" i="32"/>
  <c r="B4" i="36" s="1"/>
  <c r="B5" i="32"/>
  <c r="B6" i="36" s="1"/>
  <c r="Q5" i="32"/>
  <c r="B6" i="37" s="1"/>
  <c r="B6" i="32"/>
  <c r="B7" i="36" s="1"/>
  <c r="B7" i="32"/>
  <c r="B8" i="36" s="1"/>
  <c r="J7" i="32"/>
  <c r="B8" i="38" s="1"/>
  <c r="B8" i="32"/>
  <c r="B9" i="36" s="1"/>
  <c r="C8" i="32"/>
  <c r="C9" i="36" s="1"/>
  <c r="R8" i="32"/>
  <c r="C9" i="37" s="1"/>
  <c r="J9" i="32"/>
  <c r="B10" i="38" s="1"/>
  <c r="Q9" i="32"/>
  <c r="B10" i="37" s="1"/>
  <c r="B10" i="32"/>
  <c r="B11" i="36" s="1"/>
  <c r="C10" i="32"/>
  <c r="C11" i="36" s="1"/>
  <c r="J10" i="32"/>
  <c r="B11" i="38" s="1"/>
  <c r="J11" i="32"/>
  <c r="B12" i="38" s="1"/>
  <c r="Q11" i="32"/>
  <c r="B12" i="37" s="1"/>
  <c r="B12" i="32"/>
  <c r="B13" i="36" s="1"/>
  <c r="C12" i="32"/>
  <c r="C13" i="36" s="1"/>
  <c r="J12" i="32"/>
  <c r="B13" i="38" s="1"/>
  <c r="K12" i="32"/>
  <c r="C13" i="38" s="1"/>
  <c r="Q12" i="32"/>
  <c r="B13" i="37" s="1"/>
  <c r="R12" i="32"/>
  <c r="C13" i="37" s="1"/>
  <c r="J13" i="32"/>
  <c r="B14" i="38" s="1"/>
  <c r="Q13" i="32"/>
  <c r="B14" i="37" s="1"/>
  <c r="B14" i="32"/>
  <c r="B15" i="36" s="1"/>
  <c r="C14" i="32"/>
  <c r="C15" i="36" s="1"/>
  <c r="K14" i="32"/>
  <c r="C15" i="38" s="1"/>
  <c r="Q14" i="32"/>
  <c r="B15" i="37" s="1"/>
  <c r="J15" i="32"/>
  <c r="B16" i="38" s="1"/>
  <c r="Q15" i="32"/>
  <c r="B16" i="37" s="1"/>
  <c r="B16" i="32"/>
  <c r="B17" i="36" s="1"/>
  <c r="C16" i="32"/>
  <c r="C17" i="36" s="1"/>
  <c r="R16" i="32"/>
  <c r="C17" i="37" s="1"/>
  <c r="J17" i="32"/>
  <c r="B18" i="38" s="1"/>
  <c r="Q17" i="32"/>
  <c r="B18" i="37" s="1"/>
  <c r="B18" i="32"/>
  <c r="B19" i="36" s="1"/>
  <c r="C18" i="32"/>
  <c r="R18" i="32" s="1"/>
  <c r="J18" i="32"/>
  <c r="B19" i="38" s="1"/>
  <c r="J19" i="32"/>
  <c r="B20" i="38" s="1"/>
  <c r="Q19" i="32"/>
  <c r="B20" i="37" s="1"/>
  <c r="B20" i="32"/>
  <c r="B21" i="36" s="1"/>
  <c r="J20" i="32"/>
  <c r="B21" i="38" s="1"/>
  <c r="Q20" i="32"/>
  <c r="B21" i="37" s="1"/>
  <c r="B21" i="32"/>
  <c r="J21" i="32" s="1"/>
  <c r="B22" i="32"/>
  <c r="Q22" i="32" s="1"/>
  <c r="B23" i="37" s="1"/>
  <c r="B23" i="32"/>
  <c r="J23" i="32" s="1"/>
  <c r="B24" i="38" s="1"/>
  <c r="B24" i="32"/>
  <c r="J24" i="32" s="1"/>
  <c r="B25" i="38" s="1"/>
  <c r="Q24" i="32"/>
  <c r="B25" i="37" s="1"/>
  <c r="B25" i="32"/>
  <c r="B26" i="36" s="1"/>
  <c r="B26" i="32"/>
  <c r="B27" i="36" s="1"/>
  <c r="C26" i="32"/>
  <c r="C27" i="36" s="1"/>
  <c r="Q26" i="32"/>
  <c r="B27" i="37" s="1"/>
  <c r="R26" i="32"/>
  <c r="C27" i="37" s="1"/>
  <c r="J27" i="32"/>
  <c r="B28" i="38" s="1"/>
  <c r="Q27" i="32"/>
  <c r="B28" i="37" s="1"/>
  <c r="B28" i="32"/>
  <c r="B29" i="36" s="1"/>
  <c r="C28" i="32"/>
  <c r="C29" i="36" s="1"/>
  <c r="J29" i="32"/>
  <c r="B30" i="38" s="1"/>
  <c r="Q29" i="32"/>
  <c r="B30" i="37" s="1"/>
  <c r="B30" i="32"/>
  <c r="B31" i="36" s="1"/>
  <c r="C30" i="32"/>
  <c r="C31" i="36" s="1"/>
  <c r="J30" i="32"/>
  <c r="B31" i="38" s="1"/>
  <c r="Q30" i="32"/>
  <c r="B31" i="37" s="1"/>
  <c r="R30" i="32"/>
  <c r="C31" i="37" s="1"/>
  <c r="J31" i="32"/>
  <c r="B32" i="38" s="1"/>
  <c r="Q31" i="32"/>
  <c r="B32" i="37" s="1"/>
  <c r="B32" i="32"/>
  <c r="B33" i="36" s="1"/>
  <c r="C32" i="32"/>
  <c r="C33" i="36" s="1"/>
  <c r="K32" i="32"/>
  <c r="C33" i="38" s="1"/>
  <c r="Q32" i="32"/>
  <c r="B33" i="37" s="1"/>
  <c r="J33" i="32"/>
  <c r="B34" i="38" s="1"/>
  <c r="Q33" i="32"/>
  <c r="B34" i="37" s="1"/>
  <c r="B34" i="32"/>
  <c r="B35" i="36" s="1"/>
  <c r="C34" i="32"/>
  <c r="C35" i="36" s="1"/>
  <c r="Q34" i="32"/>
  <c r="B35" i="37" s="1"/>
  <c r="R34" i="32"/>
  <c r="C35" i="37" s="1"/>
  <c r="J35" i="32"/>
  <c r="B36" i="38" s="1"/>
  <c r="Q35" i="32"/>
  <c r="B36" i="37" s="1"/>
  <c r="B36" i="32"/>
  <c r="B37" i="36" s="1"/>
  <c r="C36" i="32"/>
  <c r="C37" i="36" s="1"/>
  <c r="J37" i="32"/>
  <c r="B38" i="38" s="1"/>
  <c r="Q37" i="32"/>
  <c r="B38" i="37" s="1"/>
  <c r="B38" i="32"/>
  <c r="B39" i="36" s="1"/>
  <c r="J38" i="32"/>
  <c r="B39" i="38" s="1"/>
  <c r="Q38" i="32"/>
  <c r="B39" i="37" s="1"/>
  <c r="B39" i="32"/>
  <c r="J39" i="32" s="1"/>
  <c r="B41" i="32"/>
  <c r="Q41" i="32" s="1"/>
  <c r="B42" i="37" s="1"/>
  <c r="J41" i="32"/>
  <c r="B42" i="38" s="1"/>
  <c r="B43" i="32"/>
  <c r="Q43" i="32"/>
  <c r="B44" i="37" s="1"/>
  <c r="B44" i="32"/>
  <c r="J44" i="32" s="1"/>
  <c r="B46" i="32"/>
  <c r="Q46" i="32"/>
  <c r="B47" i="37" s="1"/>
  <c r="B47" i="32"/>
  <c r="J47" i="32" s="1"/>
  <c r="Q47" i="32"/>
  <c r="B48" i="37" s="1"/>
  <c r="B50" i="32"/>
  <c r="Q50" i="32" s="1"/>
  <c r="C50" i="32"/>
  <c r="C4" i="32" s="1"/>
  <c r="D50" i="32"/>
  <c r="D4" i="32" s="1"/>
  <c r="E50" i="32"/>
  <c r="E4" i="32" s="1"/>
  <c r="E85" i="32" s="1"/>
  <c r="F50" i="32"/>
  <c r="F4" i="32" s="1"/>
  <c r="F85" i="32" s="1"/>
  <c r="S50" i="32"/>
  <c r="S4" i="32" s="1"/>
  <c r="D5" i="37" s="1"/>
  <c r="B51" i="32"/>
  <c r="D51" i="32"/>
  <c r="E51" i="32"/>
  <c r="F51" i="32"/>
  <c r="J51" i="32"/>
  <c r="L51" i="32"/>
  <c r="M51" i="32"/>
  <c r="N51" i="32"/>
  <c r="Q51" i="32"/>
  <c r="S51" i="32"/>
  <c r="T51" i="32"/>
  <c r="B52" i="32"/>
  <c r="D52" i="32"/>
  <c r="E52" i="32"/>
  <c r="F52" i="32"/>
  <c r="J52" i="32"/>
  <c r="L52" i="32"/>
  <c r="M52" i="32"/>
  <c r="N52" i="32"/>
  <c r="Q52" i="32"/>
  <c r="S52" i="32"/>
  <c r="T52" i="32"/>
  <c r="B53" i="32"/>
  <c r="D53" i="32"/>
  <c r="E53" i="32"/>
  <c r="F53" i="32"/>
  <c r="J53" i="32"/>
  <c r="L53" i="32"/>
  <c r="M53" i="32"/>
  <c r="N53" i="32"/>
  <c r="Q53" i="32"/>
  <c r="S53" i="32"/>
  <c r="T53" i="32"/>
  <c r="B54" i="32"/>
  <c r="D54" i="32"/>
  <c r="E54" i="32"/>
  <c r="F54" i="32"/>
  <c r="J54" i="32"/>
  <c r="L54" i="32"/>
  <c r="M54" i="32"/>
  <c r="N54" i="32"/>
  <c r="Q54" i="32"/>
  <c r="S54" i="32"/>
  <c r="T54" i="32"/>
  <c r="B55" i="32"/>
  <c r="D55" i="32"/>
  <c r="L55" i="32" s="1"/>
  <c r="M34" i="32" s="1"/>
  <c r="E55" i="32"/>
  <c r="F55" i="32"/>
  <c r="J55" i="32"/>
  <c r="M55" i="32"/>
  <c r="N55" i="32"/>
  <c r="Q55" i="32"/>
  <c r="S55" i="32"/>
  <c r="T55" i="32"/>
  <c r="B56" i="32"/>
  <c r="D56" i="32"/>
  <c r="E56" i="32"/>
  <c r="F56" i="32"/>
  <c r="J56" i="32"/>
  <c r="L56" i="32"/>
  <c r="M56" i="32"/>
  <c r="N56" i="32"/>
  <c r="Q56" i="32"/>
  <c r="S56" i="32"/>
  <c r="T56" i="32"/>
  <c r="B57" i="32"/>
  <c r="D57" i="32"/>
  <c r="E57" i="32"/>
  <c r="F57" i="32"/>
  <c r="J57" i="32"/>
  <c r="L57" i="32"/>
  <c r="M57" i="32"/>
  <c r="N57" i="32"/>
  <c r="Q57" i="32"/>
  <c r="S57" i="32"/>
  <c r="T57" i="32"/>
  <c r="B58" i="32"/>
  <c r="D58" i="32"/>
  <c r="E58" i="32"/>
  <c r="F58" i="32"/>
  <c r="J58" i="32"/>
  <c r="L58" i="32"/>
  <c r="M58" i="32"/>
  <c r="N58" i="32"/>
  <c r="Q58" i="32"/>
  <c r="S58" i="32"/>
  <c r="T58" i="32"/>
  <c r="B59" i="32"/>
  <c r="Q59" i="32" s="1"/>
  <c r="C59" i="32"/>
  <c r="K59" i="32" s="1"/>
  <c r="J59" i="32"/>
  <c r="J60" i="32"/>
  <c r="Q60" i="32"/>
  <c r="B61" i="32"/>
  <c r="B62" i="32"/>
  <c r="J62" i="32"/>
  <c r="B64" i="32"/>
  <c r="B65" i="32"/>
  <c r="B66" i="32"/>
  <c r="Q66" i="32"/>
  <c r="B67" i="32"/>
  <c r="B68" i="32"/>
  <c r="Q68" i="32"/>
  <c r="B69" i="32"/>
  <c r="Q69" i="32"/>
  <c r="D72" i="32"/>
  <c r="B73" i="32"/>
  <c r="J73" i="32" s="1"/>
  <c r="D73" i="32"/>
  <c r="D74" i="32" s="1"/>
  <c r="C60" i="32" s="1"/>
  <c r="B75" i="32"/>
  <c r="D75" i="32"/>
  <c r="J75" i="32"/>
  <c r="L75" i="32"/>
  <c r="K96" i="32" s="1"/>
  <c r="Q75" i="32"/>
  <c r="S75" i="32"/>
  <c r="B76" i="32"/>
  <c r="J76" i="32" s="1"/>
  <c r="D76" i="32"/>
  <c r="S76" i="32" s="1"/>
  <c r="B77" i="32"/>
  <c r="J77" i="32" s="1"/>
  <c r="D77" i="32"/>
  <c r="L77" i="32" s="1"/>
  <c r="Q77" i="32"/>
  <c r="B78" i="32"/>
  <c r="J78" i="32" s="1"/>
  <c r="D78" i="32"/>
  <c r="L78" i="32" s="1"/>
  <c r="B79" i="32"/>
  <c r="Q79" i="32" s="1"/>
  <c r="J79" i="32"/>
  <c r="B80" i="32"/>
  <c r="Q80" i="32" s="1"/>
  <c r="B81" i="32"/>
  <c r="J81" i="32" s="1"/>
  <c r="D81" i="32"/>
  <c r="L81" i="32" s="1"/>
  <c r="S81" i="32"/>
  <c r="B82" i="32"/>
  <c r="J82" i="32" s="1"/>
  <c r="Q82" i="32"/>
  <c r="C85" i="32"/>
  <c r="D85" i="32"/>
  <c r="G85" i="32"/>
  <c r="G4" i="32" s="1"/>
  <c r="V85" i="32"/>
  <c r="V4" i="32" s="1"/>
  <c r="G5" i="37" s="1"/>
  <c r="B86" i="32"/>
  <c r="B87" i="32"/>
  <c r="J87" i="32"/>
  <c r="B88" i="32"/>
  <c r="J88" i="32"/>
  <c r="Q88" i="32"/>
  <c r="B90" i="32"/>
  <c r="B92" i="32"/>
  <c r="Q92" i="32"/>
  <c r="B95" i="32"/>
  <c r="J95" i="32" s="1"/>
  <c r="B50" i="38" s="1"/>
  <c r="B96" i="32"/>
  <c r="J96" i="32" s="1"/>
  <c r="B51" i="38" s="1"/>
  <c r="C96" i="32"/>
  <c r="C51" i="36" s="1"/>
  <c r="Q96" i="32"/>
  <c r="B51" i="37" s="1"/>
  <c r="R96" i="32"/>
  <c r="C51" i="37" s="1"/>
  <c r="S96" i="32"/>
  <c r="D51" i="37" s="1"/>
  <c r="B97" i="32"/>
  <c r="Q97" i="32" s="1"/>
  <c r="B52" i="37" s="1"/>
  <c r="B98" i="32"/>
  <c r="Q98" i="32" s="1"/>
  <c r="B53" i="37" s="1"/>
  <c r="J98" i="32"/>
  <c r="B53" i="38" s="1"/>
  <c r="B99" i="32"/>
  <c r="Q99" i="32" s="1"/>
  <c r="B55" i="37" s="1"/>
  <c r="C56" i="48" l="1"/>
  <c r="B12" i="49"/>
  <c r="B11" i="49"/>
  <c r="C20" i="49"/>
  <c r="B14" i="49"/>
  <c r="C5" i="32"/>
  <c r="B14" i="31"/>
  <c r="B45" i="38"/>
  <c r="J67" i="32"/>
  <c r="B48" i="38"/>
  <c r="J69" i="32"/>
  <c r="B22" i="38"/>
  <c r="J63" i="32"/>
  <c r="S77" i="32"/>
  <c r="R95" i="32" s="1"/>
  <c r="C50" i="37" s="1"/>
  <c r="Q81" i="32"/>
  <c r="Q95" i="32"/>
  <c r="B50" i="37" s="1"/>
  <c r="Q90" i="32"/>
  <c r="Q86" i="32"/>
  <c r="S85" i="32"/>
  <c r="S73" i="32"/>
  <c r="J64" i="32"/>
  <c r="B63" i="32"/>
  <c r="Q61" i="32"/>
  <c r="R59" i="32"/>
  <c r="M50" i="32"/>
  <c r="M4" i="32" s="1"/>
  <c r="Q44" i="32"/>
  <c r="Q39" i="32"/>
  <c r="Q36" i="32"/>
  <c r="B37" i="37" s="1"/>
  <c r="R32" i="32"/>
  <c r="Q28" i="32"/>
  <c r="B29" i="37" s="1"/>
  <c r="Q21" i="32"/>
  <c r="Q16" i="32"/>
  <c r="B17" i="37" s="1"/>
  <c r="R10" i="32"/>
  <c r="C11" i="37" s="1"/>
  <c r="Q8" i="32"/>
  <c r="B9" i="37" s="1"/>
  <c r="Q64" i="32"/>
  <c r="N50" i="32"/>
  <c r="N4" i="32" s="1"/>
  <c r="R36" i="32"/>
  <c r="C37" i="37" s="1"/>
  <c r="R28" i="32"/>
  <c r="C29" i="37" s="1"/>
  <c r="Q87" i="32"/>
  <c r="Q76" i="32"/>
  <c r="L73" i="32"/>
  <c r="L72" i="32"/>
  <c r="L74" i="32" s="1"/>
  <c r="K60" i="32" s="1"/>
  <c r="L60" i="32" s="1"/>
  <c r="M60" i="32" s="1"/>
  <c r="N60" i="32" s="1"/>
  <c r="Q62" i="32"/>
  <c r="U58" i="32"/>
  <c r="U57" i="32"/>
  <c r="U56" i="32"/>
  <c r="U55" i="32"/>
  <c r="U54" i="32"/>
  <c r="U53" i="32"/>
  <c r="U52" i="32"/>
  <c r="U51" i="32"/>
  <c r="T50" i="32"/>
  <c r="T4" i="32" s="1"/>
  <c r="J50" i="32"/>
  <c r="J36" i="32"/>
  <c r="B37" i="38" s="1"/>
  <c r="K30" i="32"/>
  <c r="C31" i="38" s="1"/>
  <c r="J28" i="32"/>
  <c r="B29" i="38" s="1"/>
  <c r="Q18" i="32"/>
  <c r="B19" i="37" s="1"/>
  <c r="R14" i="32"/>
  <c r="C15" i="37" s="1"/>
  <c r="Q10" i="32"/>
  <c r="B11" i="37" s="1"/>
  <c r="Q6" i="32"/>
  <c r="B7" i="37" s="1"/>
  <c r="Q3" i="32"/>
  <c r="B4" i="37" s="1"/>
  <c r="D23" i="31"/>
  <c r="D20" i="31"/>
  <c r="B22" i="34"/>
  <c r="B62" i="17" s="1"/>
  <c r="J97" i="32"/>
  <c r="B52" i="38" s="1"/>
  <c r="J99" i="32"/>
  <c r="B55" i="38" s="1"/>
  <c r="T96" i="32"/>
  <c r="D96" i="32"/>
  <c r="Q78" i="32"/>
  <c r="D60" i="32"/>
  <c r="E60" i="32" s="1"/>
  <c r="F60" i="32" s="1"/>
  <c r="R60" i="32"/>
  <c r="S60" i="32" s="1"/>
  <c r="T60" i="32" s="1"/>
  <c r="U60" i="32" s="1"/>
  <c r="B40" i="38"/>
  <c r="J65" i="32"/>
  <c r="B54" i="36"/>
  <c r="B54" i="37"/>
  <c r="J80" i="32"/>
  <c r="B54" i="38" s="1"/>
  <c r="Q73" i="32"/>
  <c r="S78" i="32"/>
  <c r="C95" i="32"/>
  <c r="L76" i="32"/>
  <c r="C51" i="38"/>
  <c r="L96" i="32"/>
  <c r="E35" i="38"/>
  <c r="C19" i="37"/>
  <c r="B47" i="36"/>
  <c r="B18" i="34"/>
  <c r="B61" i="17" s="1"/>
  <c r="B44" i="36"/>
  <c r="B14" i="34"/>
  <c r="B60" i="17" s="1"/>
  <c r="U34" i="32"/>
  <c r="L34" i="32"/>
  <c r="F34" i="32"/>
  <c r="C19" i="36"/>
  <c r="C20" i="32"/>
  <c r="K18" i="32"/>
  <c r="O85" i="32"/>
  <c r="O4" i="32" s="1"/>
  <c r="G5" i="38" s="1"/>
  <c r="R50" i="32"/>
  <c r="R4" i="32" s="1"/>
  <c r="L50" i="32"/>
  <c r="L4" i="32" s="1"/>
  <c r="C38" i="32"/>
  <c r="T34" i="32"/>
  <c r="K34" i="32"/>
  <c r="E34" i="32"/>
  <c r="J32" i="32"/>
  <c r="B33" i="38" s="1"/>
  <c r="K26" i="32"/>
  <c r="Q25" i="32"/>
  <c r="B26" i="37" s="1"/>
  <c r="Q23" i="32"/>
  <c r="B24" i="37" s="1"/>
  <c r="J22" i="32"/>
  <c r="B23" i="38" s="1"/>
  <c r="U50" i="32"/>
  <c r="U4" i="32" s="1"/>
  <c r="K50" i="32"/>
  <c r="K4" i="32" s="1"/>
  <c r="J46" i="32"/>
  <c r="J43" i="32"/>
  <c r="K36" i="32"/>
  <c r="S34" i="32"/>
  <c r="N34" i="32"/>
  <c r="J34" i="32"/>
  <c r="B35" i="38" s="1"/>
  <c r="D34" i="32"/>
  <c r="K28" i="32"/>
  <c r="J26" i="32"/>
  <c r="B27" i="38" s="1"/>
  <c r="J25" i="32"/>
  <c r="B26" i="38" s="1"/>
  <c r="J16" i="32"/>
  <c r="B17" i="38" s="1"/>
  <c r="K10" i="32"/>
  <c r="J8" i="32"/>
  <c r="B9" i="38" s="1"/>
  <c r="J5" i="32"/>
  <c r="K16" i="32"/>
  <c r="J14" i="32"/>
  <c r="B15" i="38" s="1"/>
  <c r="K8" i="32"/>
  <c r="Q7" i="32"/>
  <c r="B8" i="37" s="1"/>
  <c r="J6" i="32"/>
  <c r="B7" i="38" s="1"/>
  <c r="J3" i="32"/>
  <c r="B4" i="38" s="1"/>
  <c r="B10" i="34"/>
  <c r="B56" i="17" s="1"/>
  <c r="D32" i="31"/>
  <c r="D30" i="31"/>
  <c r="D26" i="31"/>
  <c r="D22" i="31"/>
  <c r="D18" i="31"/>
  <c r="D29" i="31"/>
  <c r="D25" i="31"/>
  <c r="D21" i="31"/>
  <c r="D17" i="31"/>
  <c r="D27" i="31"/>
  <c r="B21" i="49" l="1"/>
  <c r="B50" i="48"/>
  <c r="B4" i="31" s="1"/>
  <c r="R20" i="32"/>
  <c r="C33" i="37"/>
  <c r="S72" i="32"/>
  <c r="S74" i="32" s="1"/>
  <c r="E5" i="38"/>
  <c r="M85" i="32"/>
  <c r="B45" i="37"/>
  <c r="Q67" i="32"/>
  <c r="E5" i="37"/>
  <c r="T85" i="32"/>
  <c r="F5" i="38"/>
  <c r="N85" i="32"/>
  <c r="R38" i="32"/>
  <c r="R64" i="32" s="1"/>
  <c r="B22" i="37"/>
  <c r="Q63" i="32"/>
  <c r="B40" i="37"/>
  <c r="Q65" i="32"/>
  <c r="C11" i="38"/>
  <c r="D35" i="37"/>
  <c r="V34" i="32"/>
  <c r="C37" i="38"/>
  <c r="C5" i="38"/>
  <c r="K85" i="32"/>
  <c r="R88" i="32"/>
  <c r="C19" i="38"/>
  <c r="D35" i="38"/>
  <c r="O34" i="32"/>
  <c r="E51" i="37"/>
  <c r="U96" i="32"/>
  <c r="D35" i="36"/>
  <c r="G34" i="32"/>
  <c r="F5" i="37"/>
  <c r="U85" i="32"/>
  <c r="E35" i="36"/>
  <c r="D5" i="38"/>
  <c r="L85" i="32"/>
  <c r="F35" i="37"/>
  <c r="K95" i="32"/>
  <c r="C50" i="38" s="1"/>
  <c r="B6" i="38"/>
  <c r="J86" i="32"/>
  <c r="J61" i="32"/>
  <c r="C29" i="38"/>
  <c r="B44" i="38"/>
  <c r="J66" i="32"/>
  <c r="J90" i="32"/>
  <c r="C27" i="38"/>
  <c r="K38" i="32"/>
  <c r="C35" i="38"/>
  <c r="C5" i="37"/>
  <c r="R85" i="32"/>
  <c r="C21" i="36"/>
  <c r="C41" i="32"/>
  <c r="C42" i="36" s="1"/>
  <c r="C62" i="32"/>
  <c r="C87" i="32"/>
  <c r="C50" i="36"/>
  <c r="C9" i="38"/>
  <c r="K20" i="32"/>
  <c r="C17" i="38"/>
  <c r="F35" i="38"/>
  <c r="B47" i="38"/>
  <c r="J92" i="32"/>
  <c r="J68" i="32"/>
  <c r="E35" i="37"/>
  <c r="C39" i="36"/>
  <c r="C88" i="32"/>
  <c r="C64" i="32"/>
  <c r="F35" i="36"/>
  <c r="C21" i="37"/>
  <c r="R62" i="32"/>
  <c r="R87" i="32"/>
  <c r="D51" i="38"/>
  <c r="M96" i="32"/>
  <c r="D51" i="36"/>
  <c r="E96" i="32"/>
  <c r="C39" i="37" l="1"/>
  <c r="R41" i="32"/>
  <c r="C42" i="37" s="1"/>
  <c r="G35" i="38"/>
  <c r="G35" i="37"/>
  <c r="E51" i="36"/>
  <c r="F96" i="32"/>
  <c r="F51" i="36" s="1"/>
  <c r="C39" i="38"/>
  <c r="K64" i="32"/>
  <c r="K88" i="32"/>
  <c r="F51" i="37"/>
  <c r="V96" i="32"/>
  <c r="G51" i="37" s="1"/>
  <c r="E51" i="38"/>
  <c r="N96" i="32"/>
  <c r="C21" i="38"/>
  <c r="K87" i="32"/>
  <c r="K62" i="32"/>
  <c r="K41" i="32"/>
  <c r="C42" i="38" s="1"/>
  <c r="G35" i="36"/>
  <c r="F51" i="38" l="1"/>
  <c r="O96" i="32"/>
  <c r="G51" i="38" s="1"/>
  <c r="G96" i="32"/>
  <c r="G51" i="36" s="1"/>
  <c r="C6" i="36" l="1"/>
  <c r="C12" i="34"/>
  <c r="K5" i="32"/>
  <c r="C22" i="32"/>
  <c r="C24" i="32"/>
  <c r="C25" i="36" s="1"/>
  <c r="C13" i="32"/>
  <c r="C14" i="36" s="1"/>
  <c r="R5" i="32"/>
  <c r="D5" i="32"/>
  <c r="C9" i="32"/>
  <c r="C10" i="36" s="1"/>
  <c r="C17" i="32"/>
  <c r="C18" i="36" s="1"/>
  <c r="C86" i="32"/>
  <c r="C33" i="32"/>
  <c r="C34" i="36" s="1"/>
  <c r="C31" i="32"/>
  <c r="C32" i="36" s="1"/>
  <c r="C61" i="32"/>
  <c r="C29" i="32"/>
  <c r="C30" i="36" s="1"/>
  <c r="C37" i="32"/>
  <c r="C38" i="36" s="1"/>
  <c r="C43" i="32"/>
  <c r="C27" i="32"/>
  <c r="C28" i="36" s="1"/>
  <c r="C19" i="32"/>
  <c r="C20" i="36" s="1"/>
  <c r="C35" i="32"/>
  <c r="C36" i="36" s="1"/>
  <c r="C15" i="32"/>
  <c r="C16" i="36" s="1"/>
  <c r="C11" i="32"/>
  <c r="C12" i="36" s="1"/>
  <c r="C39" i="32"/>
  <c r="C21" i="32"/>
  <c r="C22" i="36" l="1"/>
  <c r="C63" i="32"/>
  <c r="D6" i="36"/>
  <c r="D12" i="34"/>
  <c r="E5" i="32"/>
  <c r="D14" i="32"/>
  <c r="D18" i="32"/>
  <c r="D8" i="32"/>
  <c r="D16" i="32"/>
  <c r="D86" i="32"/>
  <c r="D28" i="32"/>
  <c r="D36" i="32"/>
  <c r="D61" i="32"/>
  <c r="D32" i="32"/>
  <c r="D12" i="32" s="1"/>
  <c r="D26" i="32"/>
  <c r="D95" i="32"/>
  <c r="D35" i="32"/>
  <c r="D36" i="36" s="1"/>
  <c r="C23" i="36"/>
  <c r="C23" i="32"/>
  <c r="C24" i="36" s="1"/>
  <c r="C40" i="36"/>
  <c r="C65" i="32"/>
  <c r="C13" i="34"/>
  <c r="C6" i="37"/>
  <c r="R22" i="32"/>
  <c r="R24" i="32"/>
  <c r="C25" i="37" s="1"/>
  <c r="R13" i="32"/>
  <c r="C14" i="37" s="1"/>
  <c r="S5" i="32"/>
  <c r="R9" i="32"/>
  <c r="C10" i="37" s="1"/>
  <c r="R17" i="32"/>
  <c r="C18" i="37" s="1"/>
  <c r="R61" i="32"/>
  <c r="R86" i="32"/>
  <c r="R33" i="32"/>
  <c r="C34" i="37" s="1"/>
  <c r="R31" i="32"/>
  <c r="C32" i="37" s="1"/>
  <c r="R29" i="32"/>
  <c r="C30" i="37" s="1"/>
  <c r="R37" i="32"/>
  <c r="C38" i="37" s="1"/>
  <c r="R43" i="32"/>
  <c r="R19" i="32"/>
  <c r="C20" i="37" s="1"/>
  <c r="R35" i="32"/>
  <c r="C36" i="37" s="1"/>
  <c r="R15" i="32"/>
  <c r="C16" i="37" s="1"/>
  <c r="R11" i="32"/>
  <c r="C12" i="37" s="1"/>
  <c r="R27" i="32"/>
  <c r="C28" i="37" s="1"/>
  <c r="R39" i="32"/>
  <c r="R21" i="32"/>
  <c r="C6" i="38"/>
  <c r="C11" i="34"/>
  <c r="L5" i="32"/>
  <c r="K22" i="32"/>
  <c r="K13" i="32"/>
  <c r="C14" i="38" s="1"/>
  <c r="K43" i="32"/>
  <c r="K24" i="32"/>
  <c r="C25" i="38" s="1"/>
  <c r="K33" i="32"/>
  <c r="C34" i="38" s="1"/>
  <c r="K61" i="32"/>
  <c r="K86" i="32"/>
  <c r="K15" i="32"/>
  <c r="C16" i="38" s="1"/>
  <c r="K31" i="32"/>
  <c r="C32" i="38" s="1"/>
  <c r="K37" i="32"/>
  <c r="C38" i="38" s="1"/>
  <c r="K19" i="32"/>
  <c r="C20" i="38" s="1"/>
  <c r="K27" i="32"/>
  <c r="C28" i="38" s="1"/>
  <c r="K17" i="32"/>
  <c r="C18" i="38" s="1"/>
  <c r="K11" i="32"/>
  <c r="C12" i="38" s="1"/>
  <c r="K29" i="32"/>
  <c r="C30" i="38" s="1"/>
  <c r="K35" i="32"/>
  <c r="C36" i="38" s="1"/>
  <c r="K9" i="32"/>
  <c r="C10" i="38" s="1"/>
  <c r="K21" i="32"/>
  <c r="K39" i="32"/>
  <c r="C44" i="36"/>
  <c r="C16" i="34"/>
  <c r="C44" i="32"/>
  <c r="C66" i="32"/>
  <c r="C46" i="32"/>
  <c r="C90" i="32"/>
  <c r="C91" i="32" s="1"/>
  <c r="D30" i="32" l="1"/>
  <c r="D38" i="32" s="1"/>
  <c r="D13" i="36"/>
  <c r="D13" i="32"/>
  <c r="D14" i="36" s="1"/>
  <c r="D10" i="32"/>
  <c r="D20" i="32" s="1"/>
  <c r="C40" i="38"/>
  <c r="K65" i="32"/>
  <c r="C44" i="38"/>
  <c r="C15" i="34"/>
  <c r="K90" i="32"/>
  <c r="K91" i="32" s="1"/>
  <c r="K46" i="32"/>
  <c r="K66" i="32"/>
  <c r="K44" i="32"/>
  <c r="D17" i="36"/>
  <c r="D17" i="32"/>
  <c r="D18" i="36" s="1"/>
  <c r="C45" i="36"/>
  <c r="C67" i="32"/>
  <c r="C44" i="37"/>
  <c r="C17" i="34"/>
  <c r="R44" i="32"/>
  <c r="R46" i="32"/>
  <c r="R66" i="32"/>
  <c r="R90" i="32"/>
  <c r="R91" i="32" s="1"/>
  <c r="C23" i="37"/>
  <c r="R23" i="32"/>
  <c r="C24" i="37" s="1"/>
  <c r="D50" i="36"/>
  <c r="D37" i="36"/>
  <c r="D37" i="32"/>
  <c r="D38" i="36" s="1"/>
  <c r="D9" i="36"/>
  <c r="D9" i="32"/>
  <c r="D10" i="36" s="1"/>
  <c r="C23" i="38"/>
  <c r="K23" i="32"/>
  <c r="C24" i="38" s="1"/>
  <c r="C22" i="37"/>
  <c r="R63" i="32"/>
  <c r="D6" i="37"/>
  <c r="T5" i="32"/>
  <c r="S14" i="32"/>
  <c r="D13" i="34"/>
  <c r="S18" i="32"/>
  <c r="S8" i="32"/>
  <c r="S16" i="32"/>
  <c r="S32" i="32"/>
  <c r="S61" i="32"/>
  <c r="S86" i="32"/>
  <c r="S28" i="32"/>
  <c r="S36" i="32"/>
  <c r="S26" i="32"/>
  <c r="S35" i="32"/>
  <c r="D36" i="37" s="1"/>
  <c r="S95" i="32"/>
  <c r="D27" i="36"/>
  <c r="D27" i="32"/>
  <c r="D28" i="36" s="1"/>
  <c r="D29" i="36"/>
  <c r="D29" i="32"/>
  <c r="D30" i="36" s="1"/>
  <c r="D19" i="36"/>
  <c r="D19" i="32"/>
  <c r="D20" i="36" s="1"/>
  <c r="D15" i="36"/>
  <c r="D15" i="32"/>
  <c r="D16" i="36" s="1"/>
  <c r="C22" i="38"/>
  <c r="K63" i="32"/>
  <c r="C47" i="36"/>
  <c r="C20" i="34"/>
  <c r="C47" i="32"/>
  <c r="C68" i="32"/>
  <c r="C92" i="32"/>
  <c r="D6" i="38"/>
  <c r="D11" i="34"/>
  <c r="L18" i="32"/>
  <c r="L8" i="32"/>
  <c r="L16" i="32"/>
  <c r="M5" i="32"/>
  <c r="L14" i="32"/>
  <c r="L61" i="32"/>
  <c r="L32" i="32"/>
  <c r="L86" i="32"/>
  <c r="L26" i="32"/>
  <c r="L36" i="32"/>
  <c r="L28" i="32"/>
  <c r="L95" i="32"/>
  <c r="L35" i="32"/>
  <c r="D36" i="38" s="1"/>
  <c r="C40" i="37"/>
  <c r="R65" i="32"/>
  <c r="D33" i="36"/>
  <c r="D33" i="32"/>
  <c r="D34" i="36" s="1"/>
  <c r="E6" i="36"/>
  <c r="E12" i="34"/>
  <c r="E8" i="32"/>
  <c r="E16" i="32"/>
  <c r="F5" i="32"/>
  <c r="E14" i="32"/>
  <c r="E18" i="32"/>
  <c r="E61" i="32"/>
  <c r="E32" i="32"/>
  <c r="E86" i="32"/>
  <c r="E36" i="32"/>
  <c r="E26" i="32"/>
  <c r="E28" i="32"/>
  <c r="E35" i="32"/>
  <c r="E36" i="36" s="1"/>
  <c r="E95" i="32"/>
  <c r="E50" i="36" s="1"/>
  <c r="D31" i="32" l="1"/>
  <c r="D32" i="36" s="1"/>
  <c r="D31" i="36"/>
  <c r="F6" i="36"/>
  <c r="F18" i="32"/>
  <c r="F12" i="34"/>
  <c r="F8" i="32"/>
  <c r="F16" i="32"/>
  <c r="G16" i="32" s="1"/>
  <c r="F14" i="32"/>
  <c r="G14" i="32" s="1"/>
  <c r="F61" i="32"/>
  <c r="F32" i="32"/>
  <c r="G32" i="32" s="1"/>
  <c r="F86" i="32"/>
  <c r="G86" i="32" s="1"/>
  <c r="F26" i="32"/>
  <c r="F36" i="32"/>
  <c r="G36" i="32" s="1"/>
  <c r="F28" i="32"/>
  <c r="G28" i="32" s="1"/>
  <c r="F35" i="32"/>
  <c r="F36" i="36" s="1"/>
  <c r="F95" i="32"/>
  <c r="F50" i="36" s="1"/>
  <c r="G5" i="32"/>
  <c r="D29" i="38"/>
  <c r="L29" i="32"/>
  <c r="D30" i="38" s="1"/>
  <c r="D33" i="38"/>
  <c r="L33" i="32"/>
  <c r="D34" i="38" s="1"/>
  <c r="L30" i="32"/>
  <c r="L38" i="32" s="1"/>
  <c r="E6" i="38"/>
  <c r="E11" i="34"/>
  <c r="M8" i="32"/>
  <c r="M16" i="32"/>
  <c r="N5" i="32"/>
  <c r="O5" i="32" s="1"/>
  <c r="M14" i="32"/>
  <c r="M32" i="32"/>
  <c r="M30" i="32" s="1"/>
  <c r="M86" i="32"/>
  <c r="M18" i="32"/>
  <c r="M61" i="32"/>
  <c r="M28" i="32"/>
  <c r="M36" i="32"/>
  <c r="M26" i="32"/>
  <c r="M35" i="32"/>
  <c r="E36" i="38" s="1"/>
  <c r="M95" i="32"/>
  <c r="E50" i="38" s="1"/>
  <c r="C93" i="32"/>
  <c r="C97" i="32"/>
  <c r="D37" i="37"/>
  <c r="S37" i="32"/>
  <c r="D38" i="37" s="1"/>
  <c r="D15" i="37"/>
  <c r="S15" i="32"/>
  <c r="D16" i="37" s="1"/>
  <c r="C45" i="37"/>
  <c r="R67" i="32"/>
  <c r="C45" i="38"/>
  <c r="K67" i="32"/>
  <c r="D11" i="36"/>
  <c r="D11" i="32"/>
  <c r="D12" i="36" s="1"/>
  <c r="E37" i="36"/>
  <c r="E37" i="32"/>
  <c r="E38" i="36" s="1"/>
  <c r="E17" i="36"/>
  <c r="E17" i="32"/>
  <c r="E18" i="36" s="1"/>
  <c r="D37" i="38"/>
  <c r="L37" i="32"/>
  <c r="D38" i="38" s="1"/>
  <c r="D17" i="38"/>
  <c r="L17" i="32"/>
  <c r="D18" i="38" s="1"/>
  <c r="D50" i="37"/>
  <c r="D29" i="37"/>
  <c r="S29" i="32"/>
  <c r="D30" i="37" s="1"/>
  <c r="D33" i="37"/>
  <c r="S33" i="32"/>
  <c r="D34" i="37" s="1"/>
  <c r="D17" i="37"/>
  <c r="S17" i="32"/>
  <c r="D18" i="37" s="1"/>
  <c r="E6" i="37"/>
  <c r="T8" i="32"/>
  <c r="T16" i="32"/>
  <c r="U5" i="32"/>
  <c r="T14" i="32"/>
  <c r="E13" i="34"/>
  <c r="T18" i="32"/>
  <c r="T32" i="32"/>
  <c r="T61" i="32"/>
  <c r="T86" i="32"/>
  <c r="T26" i="32"/>
  <c r="T28" i="32"/>
  <c r="T36" i="32"/>
  <c r="T95" i="32"/>
  <c r="E50" i="37" s="1"/>
  <c r="T35" i="32"/>
  <c r="E36" i="37" s="1"/>
  <c r="E29" i="36"/>
  <c r="E29" i="32"/>
  <c r="E30" i="36" s="1"/>
  <c r="E30" i="32"/>
  <c r="E38" i="32" s="1"/>
  <c r="E12" i="32"/>
  <c r="E9" i="36"/>
  <c r="E9" i="32"/>
  <c r="E10" i="36" s="1"/>
  <c r="D27" i="38"/>
  <c r="L27" i="32"/>
  <c r="D28" i="38" s="1"/>
  <c r="L12" i="32"/>
  <c r="D9" i="38"/>
  <c r="L9" i="32"/>
  <c r="D10" i="38" s="1"/>
  <c r="C48" i="36"/>
  <c r="C69" i="32"/>
  <c r="D39" i="36"/>
  <c r="D39" i="32"/>
  <c r="D64" i="32"/>
  <c r="D88" i="32"/>
  <c r="S30" i="32"/>
  <c r="S38" i="32" s="1"/>
  <c r="D9" i="37"/>
  <c r="S9" i="32"/>
  <c r="D10" i="37" s="1"/>
  <c r="C47" i="38"/>
  <c r="C19" i="34"/>
  <c r="K68" i="32"/>
  <c r="K92" i="32"/>
  <c r="K47" i="32"/>
  <c r="E27" i="36"/>
  <c r="E27" i="32"/>
  <c r="E28" i="36" s="1"/>
  <c r="E33" i="36"/>
  <c r="E33" i="32"/>
  <c r="E34" i="36" s="1"/>
  <c r="E19" i="36"/>
  <c r="E19" i="32"/>
  <c r="E20" i="36" s="1"/>
  <c r="E15" i="36"/>
  <c r="E15" i="32"/>
  <c r="E16" i="36" s="1"/>
  <c r="D50" i="38"/>
  <c r="D15" i="38"/>
  <c r="L15" i="32"/>
  <c r="D16" i="38" s="1"/>
  <c r="D19" i="38"/>
  <c r="L19" i="32"/>
  <c r="D20" i="38" s="1"/>
  <c r="D27" i="37"/>
  <c r="S27" i="32"/>
  <c r="D28" i="37" s="1"/>
  <c r="D19" i="37"/>
  <c r="S19" i="32"/>
  <c r="D20" i="37" s="1"/>
  <c r="S12" i="32"/>
  <c r="D21" i="36"/>
  <c r="D21" i="32"/>
  <c r="D41" i="32"/>
  <c r="D62" i="32"/>
  <c r="D87" i="32"/>
  <c r="D24" i="32"/>
  <c r="D25" i="36" s="1"/>
  <c r="D22" i="32"/>
  <c r="C47" i="37"/>
  <c r="C21" i="34"/>
  <c r="R47" i="32"/>
  <c r="R68" i="32"/>
  <c r="R92" i="32"/>
  <c r="G95" i="32" l="1"/>
  <c r="G50" i="36" s="1"/>
  <c r="G33" i="36"/>
  <c r="G33" i="32"/>
  <c r="G34" i="36" s="1"/>
  <c r="C48" i="37"/>
  <c r="R69" i="32"/>
  <c r="D22" i="36"/>
  <c r="D63" i="32"/>
  <c r="G15" i="36"/>
  <c r="G15" i="32"/>
  <c r="G16" i="36" s="1"/>
  <c r="E39" i="36"/>
  <c r="E39" i="32"/>
  <c r="E64" i="32"/>
  <c r="E88" i="32"/>
  <c r="K93" i="32"/>
  <c r="K97" i="32"/>
  <c r="G37" i="36"/>
  <c r="G37" i="32"/>
  <c r="G38" i="36" s="1"/>
  <c r="E27" i="37"/>
  <c r="T27" i="32"/>
  <c r="E28" i="37" s="1"/>
  <c r="E33" i="37"/>
  <c r="T33" i="32"/>
  <c r="E34" i="37" s="1"/>
  <c r="E19" i="37"/>
  <c r="T19" i="32"/>
  <c r="E20" i="37" s="1"/>
  <c r="E15" i="37"/>
  <c r="T15" i="32"/>
  <c r="E16" i="37" s="1"/>
  <c r="G6" i="38"/>
  <c r="G11" i="34"/>
  <c r="O35" i="32"/>
  <c r="G36" i="38" s="1"/>
  <c r="C52" i="36"/>
  <c r="C24" i="34"/>
  <c r="C19" i="28"/>
  <c r="C98" i="32"/>
  <c r="C53" i="36" s="1"/>
  <c r="E33" i="38"/>
  <c r="M33" i="32"/>
  <c r="E34" i="38" s="1"/>
  <c r="E9" i="38"/>
  <c r="M9" i="32"/>
  <c r="E10" i="38" s="1"/>
  <c r="M12" i="32"/>
  <c r="F15" i="36"/>
  <c r="F15" i="32"/>
  <c r="F16" i="36" s="1"/>
  <c r="F19" i="36"/>
  <c r="F19" i="32"/>
  <c r="F20" i="36" s="1"/>
  <c r="D31" i="37"/>
  <c r="S31" i="32"/>
  <c r="D32" i="37" s="1"/>
  <c r="D40" i="36"/>
  <c r="D65" i="32"/>
  <c r="D39" i="38"/>
  <c r="L64" i="32"/>
  <c r="L39" i="32"/>
  <c r="L88" i="32"/>
  <c r="F13" i="34"/>
  <c r="F6" i="37"/>
  <c r="U18" i="32"/>
  <c r="U8" i="32"/>
  <c r="U16" i="32"/>
  <c r="U14" i="32"/>
  <c r="V14" i="32" s="1"/>
  <c r="U32" i="32"/>
  <c r="U61" i="32"/>
  <c r="U86" i="32"/>
  <c r="V86" i="32" s="1"/>
  <c r="U26" i="32"/>
  <c r="U36" i="32"/>
  <c r="U28" i="32"/>
  <c r="V28" i="32" s="1"/>
  <c r="U35" i="32"/>
  <c r="F36" i="37" s="1"/>
  <c r="U95" i="32"/>
  <c r="F50" i="37" s="1"/>
  <c r="V5" i="32"/>
  <c r="E27" i="38"/>
  <c r="M27" i="32"/>
  <c r="E28" i="38" s="1"/>
  <c r="M38" i="32"/>
  <c r="E31" i="38"/>
  <c r="M31" i="32"/>
  <c r="E32" i="38" s="1"/>
  <c r="E15" i="38"/>
  <c r="M15" i="32"/>
  <c r="E16" i="38" s="1"/>
  <c r="F29" i="36"/>
  <c r="F29" i="32"/>
  <c r="F30" i="36" s="1"/>
  <c r="F33" i="36"/>
  <c r="F33" i="32"/>
  <c r="F34" i="36" s="1"/>
  <c r="F30" i="32"/>
  <c r="G30" i="32" s="1"/>
  <c r="F17" i="36"/>
  <c r="F17" i="32"/>
  <c r="F18" i="36" s="1"/>
  <c r="D39" i="37"/>
  <c r="S39" i="32"/>
  <c r="S88" i="32"/>
  <c r="S64" i="32"/>
  <c r="R93" i="32"/>
  <c r="R97" i="32"/>
  <c r="D13" i="38"/>
  <c r="L13" i="32"/>
  <c r="D14" i="38" s="1"/>
  <c r="L10" i="32"/>
  <c r="E13" i="36"/>
  <c r="E13" i="32"/>
  <c r="E14" i="36" s="1"/>
  <c r="E10" i="32"/>
  <c r="G17" i="36"/>
  <c r="G17" i="32"/>
  <c r="G18" i="36" s="1"/>
  <c r="E37" i="37"/>
  <c r="T37" i="32"/>
  <c r="E38" i="37" s="1"/>
  <c r="T30" i="32"/>
  <c r="E17" i="37"/>
  <c r="T17" i="32"/>
  <c r="E18" i="37" s="1"/>
  <c r="E37" i="38"/>
  <c r="M37" i="32"/>
  <c r="E38" i="38" s="1"/>
  <c r="E19" i="38"/>
  <c r="M19" i="32"/>
  <c r="E20" i="38" s="1"/>
  <c r="F6" i="38"/>
  <c r="N14" i="32"/>
  <c r="F11" i="34"/>
  <c r="N18" i="32"/>
  <c r="N8" i="32"/>
  <c r="N16" i="32"/>
  <c r="N32" i="32"/>
  <c r="O32" i="32" s="1"/>
  <c r="N86" i="32"/>
  <c r="O86" i="32" s="1"/>
  <c r="N61" i="32"/>
  <c r="N28" i="32"/>
  <c r="N36" i="32"/>
  <c r="N26" i="32"/>
  <c r="N35" i="32"/>
  <c r="F36" i="38" s="1"/>
  <c r="N95" i="32"/>
  <c r="G6" i="36"/>
  <c r="G12" i="34"/>
  <c r="G35" i="32"/>
  <c r="G36" i="36" s="1"/>
  <c r="F37" i="36"/>
  <c r="F37" i="32"/>
  <c r="F38" i="36" s="1"/>
  <c r="F9" i="36"/>
  <c r="F9" i="32"/>
  <c r="F10" i="36" s="1"/>
  <c r="G8" i="32"/>
  <c r="D23" i="36"/>
  <c r="D23" i="32"/>
  <c r="D24" i="36" s="1"/>
  <c r="D42" i="36"/>
  <c r="D43" i="32"/>
  <c r="D13" i="37"/>
  <c r="S13" i="32"/>
  <c r="D14" i="37" s="1"/>
  <c r="S10" i="32"/>
  <c r="C48" i="38"/>
  <c r="K69" i="32"/>
  <c r="G29" i="36"/>
  <c r="G29" i="32"/>
  <c r="G30" i="36" s="1"/>
  <c r="E31" i="36"/>
  <c r="E31" i="32"/>
  <c r="E32" i="36" s="1"/>
  <c r="E29" i="37"/>
  <c r="T29" i="32"/>
  <c r="E30" i="37" s="1"/>
  <c r="T12" i="32"/>
  <c r="E9" i="37"/>
  <c r="T9" i="32"/>
  <c r="E10" i="37" s="1"/>
  <c r="E29" i="38"/>
  <c r="M29" i="32"/>
  <c r="E30" i="38" s="1"/>
  <c r="E17" i="38"/>
  <c r="M17" i="32"/>
  <c r="E18" i="38" s="1"/>
  <c r="D31" i="38"/>
  <c r="L31" i="32"/>
  <c r="D32" i="38" s="1"/>
  <c r="F27" i="36"/>
  <c r="F27" i="32"/>
  <c r="F28" i="36" s="1"/>
  <c r="F12" i="32"/>
  <c r="G26" i="32"/>
  <c r="G18" i="32"/>
  <c r="V95" i="32" l="1"/>
  <c r="G50" i="37" s="1"/>
  <c r="F38" i="32"/>
  <c r="F64" i="32" s="1"/>
  <c r="G33" i="38"/>
  <c r="O33" i="32"/>
  <c r="G34" i="38" s="1"/>
  <c r="G31" i="36"/>
  <c r="G31" i="32"/>
  <c r="G32" i="36" s="1"/>
  <c r="D11" i="37"/>
  <c r="S11" i="32"/>
  <c r="D12" i="37" s="1"/>
  <c r="S20" i="32"/>
  <c r="D44" i="36"/>
  <c r="D16" i="34"/>
  <c r="D46" i="32"/>
  <c r="D44" i="32"/>
  <c r="D66" i="32"/>
  <c r="D90" i="32"/>
  <c r="F50" i="38"/>
  <c r="O95" i="32"/>
  <c r="G50" i="38" s="1"/>
  <c r="F29" i="38"/>
  <c r="N29" i="32"/>
  <c r="F30" i="38" s="1"/>
  <c r="F17" i="38"/>
  <c r="N17" i="32"/>
  <c r="F18" i="38" s="1"/>
  <c r="O16" i="32"/>
  <c r="G15" i="37"/>
  <c r="V15" i="32"/>
  <c r="G16" i="37" s="1"/>
  <c r="E31" i="37"/>
  <c r="T31" i="32"/>
  <c r="E32" i="37" s="1"/>
  <c r="E39" i="38"/>
  <c r="M88" i="32"/>
  <c r="M64" i="32"/>
  <c r="M39" i="32"/>
  <c r="G13" i="34"/>
  <c r="G6" i="37"/>
  <c r="V35" i="32"/>
  <c r="G36" i="37" s="1"/>
  <c r="F37" i="37"/>
  <c r="U37" i="32"/>
  <c r="F38" i="37" s="1"/>
  <c r="F33" i="37"/>
  <c r="U33" i="32"/>
  <c r="F34" i="37" s="1"/>
  <c r="U30" i="32"/>
  <c r="V30" i="32" s="1"/>
  <c r="F9" i="37"/>
  <c r="U9" i="32"/>
  <c r="F10" i="37" s="1"/>
  <c r="V8" i="32"/>
  <c r="C52" i="38"/>
  <c r="C17" i="28"/>
  <c r="C23" i="34"/>
  <c r="K98" i="32"/>
  <c r="C53" i="38" s="1"/>
  <c r="E40" i="36"/>
  <c r="E65" i="32"/>
  <c r="V36" i="32"/>
  <c r="G27" i="36"/>
  <c r="G27" i="32"/>
  <c r="G28" i="36" s="1"/>
  <c r="G9" i="36"/>
  <c r="G9" i="32"/>
  <c r="G10" i="36" s="1"/>
  <c r="F33" i="38"/>
  <c r="N33" i="32"/>
  <c r="F34" i="38" s="1"/>
  <c r="F9" i="38"/>
  <c r="N9" i="32"/>
  <c r="F10" i="38" s="1"/>
  <c r="O8" i="32"/>
  <c r="N12" i="32"/>
  <c r="E11" i="36"/>
  <c r="E11" i="32"/>
  <c r="E12" i="36" s="1"/>
  <c r="E20" i="32"/>
  <c r="D11" i="38"/>
  <c r="L11" i="32"/>
  <c r="D12" i="38" s="1"/>
  <c r="L20" i="32"/>
  <c r="F27" i="37"/>
  <c r="U27" i="32"/>
  <c r="F28" i="37" s="1"/>
  <c r="V26" i="32"/>
  <c r="U12" i="32"/>
  <c r="F19" i="37"/>
  <c r="U19" i="32"/>
  <c r="F20" i="37" s="1"/>
  <c r="V18" i="32"/>
  <c r="E13" i="38"/>
  <c r="M13" i="32"/>
  <c r="E14" i="38" s="1"/>
  <c r="M10" i="32"/>
  <c r="G19" i="36"/>
  <c r="G19" i="32"/>
  <c r="G20" i="36" s="1"/>
  <c r="G29" i="37"/>
  <c r="V29" i="32"/>
  <c r="G30" i="37" s="1"/>
  <c r="F13" i="36"/>
  <c r="F13" i="32"/>
  <c r="F14" i="36" s="1"/>
  <c r="F10" i="32"/>
  <c r="G10" i="32" s="1"/>
  <c r="F27" i="38"/>
  <c r="N27" i="32"/>
  <c r="F28" i="38" s="1"/>
  <c r="O26" i="32"/>
  <c r="F19" i="38"/>
  <c r="N19" i="32"/>
  <c r="F20" i="38" s="1"/>
  <c r="O18" i="32"/>
  <c r="F15" i="38"/>
  <c r="N15" i="32"/>
  <c r="F16" i="38" s="1"/>
  <c r="O14" i="32"/>
  <c r="G12" i="32"/>
  <c r="C52" i="37"/>
  <c r="C25" i="34"/>
  <c r="C21" i="28"/>
  <c r="R98" i="32"/>
  <c r="C53" i="37" s="1"/>
  <c r="F15" i="37"/>
  <c r="U15" i="32"/>
  <c r="F16" i="37" s="1"/>
  <c r="E13" i="37"/>
  <c r="T13" i="32"/>
  <c r="E14" i="37" s="1"/>
  <c r="T10" i="32"/>
  <c r="F37" i="38"/>
  <c r="N37" i="32"/>
  <c r="F38" i="38" s="1"/>
  <c r="O36" i="32"/>
  <c r="N30" i="32"/>
  <c r="N38" i="32" s="1"/>
  <c r="D40" i="37"/>
  <c r="S65" i="32"/>
  <c r="F31" i="36"/>
  <c r="F31" i="32"/>
  <c r="F32" i="36" s="1"/>
  <c r="V32" i="32"/>
  <c r="F29" i="37"/>
  <c r="U29" i="32"/>
  <c r="F30" i="37" s="1"/>
  <c r="F17" i="37"/>
  <c r="U17" i="32"/>
  <c r="F18" i="37" s="1"/>
  <c r="V16" i="32"/>
  <c r="D40" i="38"/>
  <c r="L65" i="32"/>
  <c r="T38" i="32"/>
  <c r="O28" i="32"/>
  <c r="G38" i="32" l="1"/>
  <c r="G39" i="36" s="1"/>
  <c r="F88" i="32"/>
  <c r="G88" i="32" s="1"/>
  <c r="U38" i="32"/>
  <c r="F39" i="37" s="1"/>
  <c r="F39" i="32"/>
  <c r="F40" i="36" s="1"/>
  <c r="F39" i="36"/>
  <c r="F39" i="38"/>
  <c r="N39" i="32"/>
  <c r="N88" i="32"/>
  <c r="O88" i="32" s="1"/>
  <c r="N64" i="32"/>
  <c r="O38" i="32"/>
  <c r="G11" i="36"/>
  <c r="G11" i="32"/>
  <c r="G12" i="36" s="1"/>
  <c r="G29" i="38"/>
  <c r="O29" i="32"/>
  <c r="G30" i="38" s="1"/>
  <c r="G13" i="36"/>
  <c r="G13" i="32"/>
  <c r="G14" i="36" s="1"/>
  <c r="G19" i="38"/>
  <c r="O19" i="32"/>
  <c r="G20" i="38" s="1"/>
  <c r="D21" i="38"/>
  <c r="L41" i="32"/>
  <c r="L21" i="32"/>
  <c r="L87" i="32"/>
  <c r="L62" i="32"/>
  <c r="L22" i="32"/>
  <c r="L24" i="32"/>
  <c r="D25" i="38" s="1"/>
  <c r="F13" i="38"/>
  <c r="N13" i="32"/>
  <c r="F14" i="38" s="1"/>
  <c r="N10" i="32"/>
  <c r="O12" i="32"/>
  <c r="D91" i="32"/>
  <c r="D47" i="36"/>
  <c r="D20" i="34"/>
  <c r="D68" i="32"/>
  <c r="D92" i="32"/>
  <c r="D47" i="32"/>
  <c r="F31" i="38"/>
  <c r="N31" i="32"/>
  <c r="F32" i="38" s="1"/>
  <c r="O30" i="32"/>
  <c r="G37" i="38"/>
  <c r="O37" i="32"/>
  <c r="G38" i="38" s="1"/>
  <c r="E11" i="37"/>
  <c r="T11" i="32"/>
  <c r="E12" i="37" s="1"/>
  <c r="T20" i="32"/>
  <c r="G15" i="38"/>
  <c r="O15" i="32"/>
  <c r="G16" i="38" s="1"/>
  <c r="G31" i="37"/>
  <c r="V31" i="32"/>
  <c r="G32" i="37" s="1"/>
  <c r="E21" i="36"/>
  <c r="E21" i="32"/>
  <c r="E87" i="32"/>
  <c r="E41" i="32"/>
  <c r="E62" i="32"/>
  <c r="E24" i="32"/>
  <c r="E25" i="36" s="1"/>
  <c r="E22" i="32"/>
  <c r="G9" i="38"/>
  <c r="O9" i="32"/>
  <c r="G10" i="38" s="1"/>
  <c r="E40" i="38"/>
  <c r="M65" i="32"/>
  <c r="G17" i="38"/>
  <c r="O17" i="32"/>
  <c r="G18" i="38" s="1"/>
  <c r="G17" i="37"/>
  <c r="V17" i="32"/>
  <c r="G18" i="37" s="1"/>
  <c r="E11" i="38"/>
  <c r="M11" i="32"/>
  <c r="E12" i="38" s="1"/>
  <c r="M20" i="32"/>
  <c r="F13" i="37"/>
  <c r="U13" i="32"/>
  <c r="F14" i="37" s="1"/>
  <c r="U10" i="32"/>
  <c r="E39" i="37"/>
  <c r="T39" i="32"/>
  <c r="T64" i="32"/>
  <c r="T88" i="32"/>
  <c r="G33" i="37"/>
  <c r="V33" i="32"/>
  <c r="G34" i="37" s="1"/>
  <c r="G27" i="38"/>
  <c r="O27" i="32"/>
  <c r="G28" i="38" s="1"/>
  <c r="F11" i="36"/>
  <c r="F11" i="32"/>
  <c r="F12" i="36" s="1"/>
  <c r="F20" i="32"/>
  <c r="G20" i="32" s="1"/>
  <c r="G19" i="37"/>
  <c r="V19" i="32"/>
  <c r="G20" i="37" s="1"/>
  <c r="G27" i="37"/>
  <c r="V27" i="32"/>
  <c r="G28" i="37" s="1"/>
  <c r="G37" i="37"/>
  <c r="V37" i="32"/>
  <c r="G38" i="37" s="1"/>
  <c r="G9" i="37"/>
  <c r="V9" i="32"/>
  <c r="G10" i="37" s="1"/>
  <c r="F31" i="37"/>
  <c r="U31" i="32"/>
  <c r="F32" i="37" s="1"/>
  <c r="D45" i="36"/>
  <c r="D67" i="32"/>
  <c r="D21" i="37"/>
  <c r="S21" i="32"/>
  <c r="S62" i="32"/>
  <c r="S41" i="32"/>
  <c r="S87" i="32"/>
  <c r="S22" i="32"/>
  <c r="S24" i="32"/>
  <c r="D25" i="37" s="1"/>
  <c r="V12" i="32"/>
  <c r="U39" i="32" l="1"/>
  <c r="F40" i="37" s="1"/>
  <c r="G39" i="32"/>
  <c r="G40" i="36" s="1"/>
  <c r="U64" i="32"/>
  <c r="V38" i="32"/>
  <c r="G39" i="37" s="1"/>
  <c r="U88" i="32"/>
  <c r="V88" i="32" s="1"/>
  <c r="F65" i="32"/>
  <c r="G21" i="36"/>
  <c r="G21" i="32"/>
  <c r="G22" i="36" s="1"/>
  <c r="G22" i="32"/>
  <c r="G24" i="32"/>
  <c r="G25" i="36" s="1"/>
  <c r="D23" i="37"/>
  <c r="S23" i="32"/>
  <c r="D24" i="37" s="1"/>
  <c r="D22" i="37"/>
  <c r="S63" i="32"/>
  <c r="E42" i="36"/>
  <c r="E43" i="32"/>
  <c r="E21" i="37"/>
  <c r="T21" i="32"/>
  <c r="T87" i="32"/>
  <c r="T62" i="32"/>
  <c r="T41" i="32"/>
  <c r="T24" i="32"/>
  <c r="E25" i="37" s="1"/>
  <c r="T22" i="32"/>
  <c r="G13" i="38"/>
  <c r="O13" i="32"/>
  <c r="G14" i="38" s="1"/>
  <c r="D22" i="38"/>
  <c r="L63" i="32"/>
  <c r="E40" i="37"/>
  <c r="T65" i="32"/>
  <c r="E23" i="36"/>
  <c r="E23" i="32"/>
  <c r="E24" i="36" s="1"/>
  <c r="G31" i="38"/>
  <c r="O31" i="32"/>
  <c r="G32" i="38" s="1"/>
  <c r="D48" i="36"/>
  <c r="D69" i="32"/>
  <c r="F11" i="38"/>
  <c r="N11" i="32"/>
  <c r="F12" i="38" s="1"/>
  <c r="N20" i="32"/>
  <c r="O20" i="32" s="1"/>
  <c r="D23" i="38"/>
  <c r="L23" i="32"/>
  <c r="D24" i="38" s="1"/>
  <c r="D42" i="38"/>
  <c r="L43" i="32"/>
  <c r="G13" i="37"/>
  <c r="V13" i="32"/>
  <c r="G14" i="37" s="1"/>
  <c r="D42" i="37"/>
  <c r="S43" i="32"/>
  <c r="E21" i="38"/>
  <c r="M21" i="32"/>
  <c r="M62" i="32"/>
  <c r="M41" i="32"/>
  <c r="M87" i="32"/>
  <c r="M22" i="32"/>
  <c r="M24" i="32"/>
  <c r="E25" i="38" s="1"/>
  <c r="E22" i="36"/>
  <c r="E63" i="32"/>
  <c r="D93" i="32"/>
  <c r="D97" i="32"/>
  <c r="O10" i="32"/>
  <c r="F40" i="38"/>
  <c r="N65" i="32"/>
  <c r="F21" i="36"/>
  <c r="F41" i="32"/>
  <c r="G41" i="32" s="1"/>
  <c r="G42" i="36" s="1"/>
  <c r="F62" i="32"/>
  <c r="F87" i="32"/>
  <c r="G87" i="32" s="1"/>
  <c r="F21" i="32"/>
  <c r="F22" i="32"/>
  <c r="F24" i="32"/>
  <c r="F25" i="36" s="1"/>
  <c r="F11" i="37"/>
  <c r="U11" i="32"/>
  <c r="F12" i="37" s="1"/>
  <c r="U20" i="32"/>
  <c r="V10" i="32"/>
  <c r="G39" i="38"/>
  <c r="O39" i="32"/>
  <c r="G40" i="38" s="1"/>
  <c r="V39" i="32" l="1"/>
  <c r="G40" i="37" s="1"/>
  <c r="U65" i="32"/>
  <c r="D52" i="36"/>
  <c r="D24" i="34"/>
  <c r="D19" i="28"/>
  <c r="D98" i="32"/>
  <c r="D53" i="36" s="1"/>
  <c r="G11" i="37"/>
  <c r="V11" i="32"/>
  <c r="G12" i="37" s="1"/>
  <c r="F21" i="37"/>
  <c r="U41" i="32"/>
  <c r="U21" i="32"/>
  <c r="U87" i="32"/>
  <c r="V87" i="32" s="1"/>
  <c r="U62" i="32"/>
  <c r="U24" i="32"/>
  <c r="F25" i="37" s="1"/>
  <c r="U22" i="32"/>
  <c r="V20" i="32"/>
  <c r="F23" i="36"/>
  <c r="F23" i="32"/>
  <c r="F24" i="36" s="1"/>
  <c r="F42" i="36"/>
  <c r="F43" i="32"/>
  <c r="G43" i="32" s="1"/>
  <c r="G11" i="38"/>
  <c r="O11" i="32"/>
  <c r="G12" i="38" s="1"/>
  <c r="E23" i="38"/>
  <c r="M23" i="32"/>
  <c r="E24" i="38" s="1"/>
  <c r="E22" i="38"/>
  <c r="M63" i="32"/>
  <c r="D44" i="37"/>
  <c r="D17" i="34"/>
  <c r="S46" i="32"/>
  <c r="S66" i="32"/>
  <c r="S44" i="32"/>
  <c r="S90" i="32"/>
  <c r="E23" i="37"/>
  <c r="T23" i="32"/>
  <c r="E24" i="37" s="1"/>
  <c r="E44" i="36"/>
  <c r="E16" i="34"/>
  <c r="E90" i="32"/>
  <c r="E46" i="32"/>
  <c r="E44" i="32"/>
  <c r="E66" i="32"/>
  <c r="G23" i="36"/>
  <c r="G23" i="32"/>
  <c r="G24" i="36" s="1"/>
  <c r="F22" i="36"/>
  <c r="F63" i="32"/>
  <c r="G21" i="38"/>
  <c r="O21" i="32"/>
  <c r="G22" i="38" s="1"/>
  <c r="O22" i="32"/>
  <c r="O24" i="32"/>
  <c r="G25" i="38" s="1"/>
  <c r="D44" i="38"/>
  <c r="D15" i="34"/>
  <c r="L44" i="32"/>
  <c r="L90" i="32"/>
  <c r="L46" i="32"/>
  <c r="L66" i="32"/>
  <c r="E22" i="37"/>
  <c r="T63" i="32"/>
  <c r="E42" i="38"/>
  <c r="M43" i="32"/>
  <c r="F21" i="38"/>
  <c r="N62" i="32"/>
  <c r="N21" i="32"/>
  <c r="N41" i="32"/>
  <c r="O41" i="32" s="1"/>
  <c r="G42" i="38" s="1"/>
  <c r="N87" i="32"/>
  <c r="O87" i="32" s="1"/>
  <c r="N24" i="32"/>
  <c r="F25" i="38" s="1"/>
  <c r="N22" i="32"/>
  <c r="E42" i="37"/>
  <c r="T43" i="32"/>
  <c r="E44" i="37" l="1"/>
  <c r="E17" i="34"/>
  <c r="T90" i="32"/>
  <c r="T91" i="32" s="1"/>
  <c r="T46" i="32"/>
  <c r="T66" i="32"/>
  <c r="T44" i="32"/>
  <c r="L91" i="32"/>
  <c r="E47" i="36"/>
  <c r="E20" i="34"/>
  <c r="E68" i="32"/>
  <c r="E92" i="32"/>
  <c r="E47" i="32"/>
  <c r="D45" i="37"/>
  <c r="S67" i="32"/>
  <c r="F23" i="37"/>
  <c r="U23" i="32"/>
  <c r="F24" i="37" s="1"/>
  <c r="F22" i="37"/>
  <c r="U63" i="32"/>
  <c r="G44" i="36"/>
  <c r="G16" i="34"/>
  <c r="G44" i="32"/>
  <c r="G45" i="36" s="1"/>
  <c r="E91" i="32"/>
  <c r="F42" i="37"/>
  <c r="U43" i="32"/>
  <c r="V43" i="32" s="1"/>
  <c r="V41" i="32"/>
  <c r="G42" i="37" s="1"/>
  <c r="F42" i="38"/>
  <c r="N43" i="32"/>
  <c r="F23" i="38"/>
  <c r="N23" i="32"/>
  <c r="F24" i="38" s="1"/>
  <c r="F22" i="38"/>
  <c r="N63" i="32"/>
  <c r="E44" i="38"/>
  <c r="E15" i="34"/>
  <c r="M66" i="32"/>
  <c r="M44" i="32"/>
  <c r="M46" i="32"/>
  <c r="M90" i="32"/>
  <c r="M91" i="32" s="1"/>
  <c r="D45" i="38"/>
  <c r="L67" i="32"/>
  <c r="G23" i="38"/>
  <c r="O23" i="32"/>
  <c r="G24" i="38" s="1"/>
  <c r="S91" i="32"/>
  <c r="D47" i="37"/>
  <c r="D21" i="34"/>
  <c r="S92" i="32"/>
  <c r="S47" i="32"/>
  <c r="S68" i="32"/>
  <c r="D47" i="38"/>
  <c r="D19" i="34"/>
  <c r="L47" i="32"/>
  <c r="L68" i="32"/>
  <c r="L92" i="32"/>
  <c r="E45" i="36"/>
  <c r="E67" i="32"/>
  <c r="F44" i="36"/>
  <c r="F16" i="34"/>
  <c r="F44" i="32"/>
  <c r="F66" i="32"/>
  <c r="F90" i="32"/>
  <c r="F91" i="32" s="1"/>
  <c r="F46" i="32"/>
  <c r="G21" i="37"/>
  <c r="V21" i="32"/>
  <c r="G22" i="37" s="1"/>
  <c r="V22" i="32"/>
  <c r="V24" i="32"/>
  <c r="G25" i="37" s="1"/>
  <c r="E93" i="32" l="1"/>
  <c r="E97" i="32"/>
  <c r="E47" i="37"/>
  <c r="E21" i="34"/>
  <c r="T92" i="32"/>
  <c r="T47" i="32"/>
  <c r="T68" i="32"/>
  <c r="F47" i="36"/>
  <c r="F20" i="34"/>
  <c r="F47" i="32"/>
  <c r="F68" i="32"/>
  <c r="F92" i="32"/>
  <c r="G92" i="32" s="1"/>
  <c r="G93" i="32" s="1"/>
  <c r="D48" i="38"/>
  <c r="L69" i="32"/>
  <c r="E47" i="38"/>
  <c r="E19" i="34"/>
  <c r="M47" i="32"/>
  <c r="M68" i="32"/>
  <c r="M92" i="32"/>
  <c r="F17" i="34"/>
  <c r="F44" i="37"/>
  <c r="U44" i="32"/>
  <c r="U90" i="32"/>
  <c r="U46" i="32"/>
  <c r="U66" i="32"/>
  <c r="F45" i="36"/>
  <c r="F67" i="32"/>
  <c r="G23" i="37"/>
  <c r="V23" i="32"/>
  <c r="G24" i="37" s="1"/>
  <c r="D48" i="37"/>
  <c r="S69" i="32"/>
  <c r="E45" i="38"/>
  <c r="M67" i="32"/>
  <c r="F44" i="38"/>
  <c r="F15" i="34"/>
  <c r="N46" i="32"/>
  <c r="N66" i="32"/>
  <c r="N44" i="32"/>
  <c r="N90" i="32"/>
  <c r="N91" i="32" s="1"/>
  <c r="O43" i="32"/>
  <c r="G46" i="32"/>
  <c r="E45" i="37"/>
  <c r="T67" i="32"/>
  <c r="L93" i="32"/>
  <c r="L97" i="32"/>
  <c r="G44" i="37"/>
  <c r="G17" i="34"/>
  <c r="V44" i="32"/>
  <c r="G45" i="37" s="1"/>
  <c r="S97" i="32"/>
  <c r="S93" i="32"/>
  <c r="G90" i="32"/>
  <c r="G91" i="32" s="1"/>
  <c r="E48" i="36"/>
  <c r="E69" i="32"/>
  <c r="D52" i="37" l="1"/>
  <c r="D25" i="34"/>
  <c r="D21" i="28"/>
  <c r="S98" i="32"/>
  <c r="D53" i="37" s="1"/>
  <c r="D52" i="38"/>
  <c r="D23" i="34"/>
  <c r="D17" i="28"/>
  <c r="L98" i="32"/>
  <c r="D53" i="38" s="1"/>
  <c r="F45" i="38"/>
  <c r="N67" i="32"/>
  <c r="U91" i="32"/>
  <c r="V90" i="32"/>
  <c r="V91" i="32" s="1"/>
  <c r="M93" i="32"/>
  <c r="M97" i="32"/>
  <c r="G47" i="36"/>
  <c r="G20" i="34"/>
  <c r="G47" i="32"/>
  <c r="G48" i="36" s="1"/>
  <c r="O90" i="32"/>
  <c r="O91" i="32" s="1"/>
  <c r="F45" i="37"/>
  <c r="U67" i="32"/>
  <c r="F48" i="36"/>
  <c r="F69" i="32"/>
  <c r="E48" i="37"/>
  <c r="T69" i="32"/>
  <c r="G44" i="38"/>
  <c r="G15" i="34"/>
  <c r="O44" i="32"/>
  <c r="G45" i="38" s="1"/>
  <c r="F47" i="38"/>
  <c r="F19" i="34"/>
  <c r="N92" i="32"/>
  <c r="N47" i="32"/>
  <c r="N68" i="32"/>
  <c r="O46" i="32"/>
  <c r="E48" i="38"/>
  <c r="M69" i="32"/>
  <c r="T93" i="32"/>
  <c r="T97" i="32"/>
  <c r="E52" i="36"/>
  <c r="E24" i="34"/>
  <c r="E19" i="28"/>
  <c r="E98" i="32"/>
  <c r="E53" i="36" s="1"/>
  <c r="F21" i="34"/>
  <c r="F47" i="37"/>
  <c r="U47" i="32"/>
  <c r="U68" i="32"/>
  <c r="U92" i="32"/>
  <c r="V46" i="32"/>
  <c r="F97" i="32"/>
  <c r="G97" i="32" s="1"/>
  <c r="F93" i="32"/>
  <c r="G52" i="36" l="1"/>
  <c r="G24" i="34"/>
  <c r="C27" i="34" s="1"/>
  <c r="G19" i="28"/>
  <c r="G98" i="32"/>
  <c r="G53" i="36" s="1"/>
  <c r="U93" i="32"/>
  <c r="U97" i="32"/>
  <c r="V97" i="32" s="1"/>
  <c r="V92" i="32"/>
  <c r="V93" i="32" s="1"/>
  <c r="F48" i="38"/>
  <c r="N69" i="32"/>
  <c r="F52" i="36"/>
  <c r="F24" i="34"/>
  <c r="F19" i="28"/>
  <c r="F98" i="32"/>
  <c r="F53" i="36" s="1"/>
  <c r="N93" i="32"/>
  <c r="N97" i="32"/>
  <c r="O92" i="32"/>
  <c r="O93" i="32" s="1"/>
  <c r="E52" i="38"/>
  <c r="E23" i="34"/>
  <c r="E17" i="28"/>
  <c r="M98" i="32"/>
  <c r="E53" i="38" s="1"/>
  <c r="F48" i="37"/>
  <c r="U69" i="32"/>
  <c r="G47" i="37"/>
  <c r="G21" i="34"/>
  <c r="V47" i="32"/>
  <c r="G48" i="37" s="1"/>
  <c r="E52" i="37"/>
  <c r="E25" i="34"/>
  <c r="E21" i="28"/>
  <c r="T98" i="32"/>
  <c r="E53" i="37" s="1"/>
  <c r="G47" i="38"/>
  <c r="G19" i="34"/>
  <c r="O47" i="32"/>
  <c r="G48" i="38" s="1"/>
  <c r="F52" i="37" l="1"/>
  <c r="F25" i="34"/>
  <c r="F21" i="28"/>
  <c r="U98" i="32"/>
  <c r="F53" i="37" s="1"/>
  <c r="C25" i="28"/>
  <c r="G31" i="28" s="1"/>
  <c r="C64" i="31" s="1"/>
  <c r="C59" i="31" s="1"/>
  <c r="C29" i="28"/>
  <c r="G52" i="37"/>
  <c r="G25" i="34"/>
  <c r="E28" i="34" s="1"/>
  <c r="G21" i="28"/>
  <c r="V98" i="32"/>
  <c r="G53" i="37" s="1"/>
  <c r="F52" i="38"/>
  <c r="F23" i="34"/>
  <c r="F17" i="28"/>
  <c r="N98" i="32"/>
  <c r="F53" i="38" s="1"/>
  <c r="O97" i="32"/>
  <c r="E30" i="28" l="1"/>
  <c r="C27" i="28"/>
  <c r="E32" i="28" s="1"/>
  <c r="C58" i="31"/>
  <c r="D79" i="32" s="1"/>
  <c r="C61" i="31"/>
  <c r="D14" i="28"/>
  <c r="G52" i="38"/>
  <c r="G17" i="28"/>
  <c r="G23" i="34"/>
  <c r="C28" i="34" s="1"/>
  <c r="O98" i="32"/>
  <c r="G53" i="38" s="1"/>
  <c r="S79" i="32" l="1"/>
  <c r="S80" i="32" s="1"/>
  <c r="C54" i="37" s="1"/>
  <c r="D80" i="32"/>
  <c r="L79" i="32"/>
  <c r="L80" i="32" s="1"/>
  <c r="C54" i="38" s="1"/>
  <c r="C30" i="28"/>
  <c r="C26" i="28"/>
  <c r="C32" i="28" s="1"/>
  <c r="C54" i="36" l="1"/>
  <c r="D82" i="32"/>
  <c r="C99" i="32"/>
  <c r="K99" i="32"/>
  <c r="R99" i="32"/>
  <c r="D99" i="32"/>
  <c r="E99" i="32"/>
  <c r="S99" i="32"/>
  <c r="L99" i="32"/>
  <c r="G99" i="32"/>
  <c r="T99" i="32"/>
  <c r="F99" i="32"/>
  <c r="M99" i="32"/>
  <c r="V99" i="32"/>
  <c r="N99" i="32"/>
  <c r="U99" i="32"/>
  <c r="O99" i="32"/>
  <c r="F55" i="37" l="1"/>
  <c r="F22" i="28"/>
  <c r="F55" i="36"/>
  <c r="F20" i="28"/>
  <c r="D55" i="37"/>
  <c r="D22" i="28"/>
  <c r="C55" i="38"/>
  <c r="C18" i="28"/>
  <c r="E55" i="37"/>
  <c r="E22" i="28"/>
  <c r="E55" i="36"/>
  <c r="E20" i="28"/>
  <c r="C55" i="36"/>
  <c r="C20" i="28"/>
  <c r="G55" i="36"/>
  <c r="G20" i="28"/>
  <c r="D55" i="36"/>
  <c r="D20" i="28"/>
  <c r="L82" i="32"/>
  <c r="S82" i="32"/>
  <c r="F55" i="38"/>
  <c r="F18" i="28"/>
  <c r="G55" i="37"/>
  <c r="G22" i="28"/>
  <c r="G55" i="38"/>
  <c r="G18" i="28"/>
  <c r="E55" i="38"/>
  <c r="E18" i="28"/>
  <c r="D55" i="38"/>
  <c r="D18" i="28"/>
  <c r="C55" i="37"/>
  <c r="C2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Morcom</author>
  </authors>
  <commentList>
    <comment ref="B9" authorId="0" shapeId="0" xr:uid="{00000000-0006-0000-0100-000001000000}">
      <text>
        <r>
          <rPr>
            <sz val="8"/>
            <color indexed="81"/>
            <rFont val="Tahoma"/>
            <family val="2"/>
          </rPr>
          <t>This section reviews the current performance of your business for a full year period. It is designed to assess the level of expenses that vary with your sales (Variable Costs) and those that don't (Fixed Costs).  It also allocates a realistic labor cost for the owners effort.  The focus is on cash flow excluding assets and  taxation.  Broad expense categories are provided.  Labels in blue cells can be adjusted however they should reflect the original label type to ensure formula are applied correctly. Values can be based on the previous years tax return adjusted for current trading.  Inputs do not have to be perfect but should reasonably reflect business operation.</t>
        </r>
      </text>
    </comment>
    <comment ref="C11" authorId="0" shapeId="0" xr:uid="{00000000-0006-0000-0100-000002000000}">
      <text>
        <r>
          <rPr>
            <sz val="8"/>
            <color indexed="81"/>
            <rFont val="Tahoma"/>
            <family val="2"/>
          </rPr>
          <t>Input a name for the business. This appears as an identifier on the Output Sheets.</t>
        </r>
      </text>
    </comment>
    <comment ref="C13" authorId="0" shapeId="0" xr:uid="{00000000-0006-0000-0100-000003000000}">
      <text>
        <r>
          <rPr>
            <sz val="8"/>
            <color indexed="81"/>
            <rFont val="Tahoma"/>
            <family val="2"/>
          </rPr>
          <t>Input the Revenue generated by the business for the current year. You can also adjust the label for this item. All labels in blue cells can be adjusted if required.</t>
        </r>
      </text>
    </comment>
    <comment ref="C15" authorId="0" shapeId="0" xr:uid="{00000000-0006-0000-0100-000004000000}">
      <text>
        <r>
          <rPr>
            <sz val="8"/>
            <color indexed="81"/>
            <rFont val="Tahoma"/>
            <family val="2"/>
          </rPr>
          <t>Select your Expense input as Monetary or Percent. This allows you to input your Expenses directly in Monetary (Dollars, Pounds etc) or Percentage terms.</t>
        </r>
      </text>
    </comment>
    <comment ref="C16" authorId="0" shapeId="0" xr:uid="{00000000-0006-0000-0100-000005000000}">
      <text>
        <r>
          <rPr>
            <sz val="8"/>
            <color indexed="81"/>
            <rFont val="Tahoma"/>
            <family val="2"/>
          </rPr>
          <t>Variable Costs vary with the volume of product or service you provide.  Only include these costs in this section and allocate them into one of the six categories.</t>
        </r>
      </text>
    </comment>
    <comment ref="C17" authorId="0" shapeId="0" xr:uid="{00000000-0006-0000-0100-000006000000}">
      <text>
        <r>
          <rPr>
            <sz val="8"/>
            <color indexed="81"/>
            <rFont val="Tahoma"/>
            <family val="2"/>
          </rPr>
          <t>Input the annual variable expense for materials and supplies directly related to producing your product or providing your service.</t>
        </r>
      </text>
    </comment>
    <comment ref="C18" authorId="0" shapeId="0" xr:uid="{00000000-0006-0000-0100-000007000000}">
      <text>
        <r>
          <rPr>
            <sz val="8"/>
            <color indexed="81"/>
            <rFont val="Tahoma"/>
            <family val="2"/>
          </rPr>
          <t>Input the annual variable expense for labor (excluding the owner) directly related to producing your product or providing your service.  Labor expenses should include all associated on-costs and benefits.</t>
        </r>
      </text>
    </comment>
    <comment ref="C19" authorId="0" shapeId="0" xr:uid="{00000000-0006-0000-0100-000008000000}">
      <text>
        <r>
          <rPr>
            <sz val="8"/>
            <color indexed="81"/>
            <rFont val="Tahoma"/>
            <family val="2"/>
          </rPr>
          <t>Input the annual value of labor provided by the owner that is directly related to producing your product or providing your service.  This variable expense should reflect the effective labor effort and can be estimated as the cost of an employee who could replace the owner.  Labor expenses should include all associated on-costs and benefits.</t>
        </r>
      </text>
    </comment>
    <comment ref="C20" authorId="0" shapeId="0" xr:uid="{00000000-0006-0000-0100-000009000000}">
      <text>
        <r>
          <rPr>
            <sz val="8"/>
            <color indexed="81"/>
            <rFont val="Tahoma"/>
            <family val="2"/>
          </rPr>
          <t>Input the annual variable expense for distribution of your product or service.  This may include freight costs, packaging, and vehicle running costs.</t>
        </r>
      </text>
    </comment>
    <comment ref="C21" authorId="0" shapeId="0" xr:uid="{00000000-0006-0000-0100-00000A000000}">
      <text>
        <r>
          <rPr>
            <sz val="8"/>
            <color indexed="81"/>
            <rFont val="Tahoma"/>
            <family val="2"/>
          </rPr>
          <t>Input the annual variable expense for marketing.  Include advertising, promotional publications, sponsorships, client functions, and any marketing or sales expense. Marketing is not essentially a variable expense, however it is assumed that marketing does influence the level of sales and a relationship exists between the level of marketing and the level of sales.  It is on this basis that it forms a component of Variable Costs.</t>
        </r>
      </text>
    </comment>
    <comment ref="C22" authorId="0" shapeId="0" xr:uid="{00000000-0006-0000-0100-00000B000000}">
      <text>
        <r>
          <rPr>
            <sz val="8"/>
            <color indexed="81"/>
            <rFont val="Tahoma"/>
            <family val="2"/>
          </rPr>
          <t>Input any annual variable expenses not already accounted for.</t>
        </r>
      </text>
    </comment>
    <comment ref="C23" authorId="0" shapeId="0" xr:uid="{00000000-0006-0000-0100-00000C000000}">
      <text>
        <r>
          <rPr>
            <sz val="8"/>
            <color indexed="81"/>
            <rFont val="Tahoma"/>
            <family val="2"/>
          </rPr>
          <t>This is the sum of the variable expenses. It is expressed as a monetary value and as a percentage of revenue.</t>
        </r>
      </text>
    </comment>
    <comment ref="C24" authorId="0" shapeId="0" xr:uid="{00000000-0006-0000-0100-00000D000000}">
      <text>
        <r>
          <rPr>
            <sz val="8"/>
            <color indexed="81"/>
            <rFont val="Tahoma"/>
            <family val="2"/>
          </rPr>
          <t>Fixed Costs are expenses which remain constant (up to a point) while the volume of sales vary.  Only include these costs in this section and allocate them into one of the six categories.</t>
        </r>
      </text>
    </comment>
    <comment ref="C25" authorId="0" shapeId="0" xr:uid="{00000000-0006-0000-0100-00000E000000}">
      <text>
        <r>
          <rPr>
            <sz val="8"/>
            <color indexed="81"/>
            <rFont val="Tahoma"/>
            <family val="2"/>
          </rPr>
          <t>Input the annual fixed location expense.  Include rent, power and light, maintenance, building insurance, security, and cleaning.  If you own the property do not include purchase or finance costs.</t>
        </r>
      </text>
    </comment>
    <comment ref="C26" authorId="0" shapeId="0" xr:uid="{00000000-0006-0000-0100-00000F000000}">
      <text>
        <r>
          <rPr>
            <sz val="8"/>
            <color indexed="81"/>
            <rFont val="Tahoma"/>
            <family val="2"/>
          </rPr>
          <t>Input the annual fixed administration expense.   Include office phone, equipment costs, and stationary.</t>
        </r>
      </text>
    </comment>
    <comment ref="C27" authorId="0" shapeId="0" xr:uid="{00000000-0006-0000-0100-000010000000}">
      <text>
        <r>
          <rPr>
            <sz val="8"/>
            <color indexed="81"/>
            <rFont val="Tahoma"/>
            <family val="2"/>
          </rPr>
          <t>Input the annual fixed labor expense (excluding owner).  This should include any labor expense not already accounted for in Variable Costs.  Labor expenses should include all associated on-costs and benefits.</t>
        </r>
      </text>
    </comment>
    <comment ref="C28" authorId="0" shapeId="0" xr:uid="{00000000-0006-0000-0100-000011000000}">
      <text>
        <r>
          <rPr>
            <sz val="8"/>
            <color indexed="81"/>
            <rFont val="Tahoma"/>
            <family val="2"/>
          </rPr>
          <t>Input the annual value of fixed labor provided by the owner.  This should include the value of any labor which has not already been accounted for in Variable Costs.  This fixed expense should reflect the effective labor effort and can be estimated as the cost of an employee who could replace the owner.  Labor expenses should include all associated on-costs and benefits.</t>
        </r>
      </text>
    </comment>
    <comment ref="C29" authorId="0" shapeId="0" xr:uid="{00000000-0006-0000-0100-000012000000}">
      <text>
        <r>
          <rPr>
            <sz val="8"/>
            <color indexed="81"/>
            <rFont val="Tahoma"/>
            <family val="2"/>
          </rPr>
          <t>Input the annual fixed Interest Cost.  Include only the interest component of loan repayments.  Principle components reflect assets. It is recommended that the business initially be valued with no Finance or Interest component i.e. 100% equity. This ensures the valuation provides the required return on the Total Investment. Once you have established valuation details you can then insert Finance details to determine the impact on the business.</t>
        </r>
      </text>
    </comment>
    <comment ref="C30" authorId="0" shapeId="0" xr:uid="{00000000-0006-0000-0100-000013000000}">
      <text>
        <r>
          <rPr>
            <sz val="8"/>
            <color indexed="81"/>
            <rFont val="Tahoma"/>
            <family val="2"/>
          </rPr>
          <t>Input any annual fixed expenses not already accounted for.</t>
        </r>
      </text>
    </comment>
    <comment ref="C31" authorId="0" shapeId="0" xr:uid="{00000000-0006-0000-0100-000014000000}">
      <text>
        <r>
          <rPr>
            <sz val="8"/>
            <color indexed="81"/>
            <rFont val="Tahoma"/>
            <family val="2"/>
          </rPr>
          <t>This is the sum of the fixed expenses. It is expressed as a monetary value and as a percentage of revenue.</t>
        </r>
      </text>
    </comment>
    <comment ref="C32" authorId="0" shapeId="0" xr:uid="{00000000-0006-0000-0100-000015000000}">
      <text>
        <r>
          <rPr>
            <sz val="8"/>
            <color indexed="81"/>
            <rFont val="Tahoma"/>
            <family val="2"/>
          </rPr>
          <t>Operating Surplus reflects the before tax operating profit/loss of the business for the full years trading. It is calculated as the Revenue less Total Variable Costs less Total Fixed Costs. It excludes asset investment. Assets include property, equipment, and capital reinvestment in the business.  These investment components are considered in the Investment section. The Operating Surplus represents the day to day (short term) business performance.</t>
        </r>
      </text>
    </comment>
    <comment ref="C33" authorId="0" shapeId="0" xr:uid="{00000000-0006-0000-0100-000016000000}">
      <text>
        <r>
          <rPr>
            <sz val="8"/>
            <color indexed="81"/>
            <rFont val="Tahoma"/>
            <family val="2"/>
          </rPr>
          <t>Owner Cash Flow is the Operating Surplus plus the value of any Labor provided by the Owner. If the owner provides no labor for the business Owner Cash flow and Operating Surplus will be equal.</t>
        </r>
      </text>
    </comment>
    <comment ref="B36" authorId="0" shapeId="0" xr:uid="{00000000-0006-0000-0100-000017000000}">
      <text>
        <r>
          <rPr>
            <sz val="8"/>
            <color indexed="81"/>
            <rFont val="Tahoma"/>
            <family val="2"/>
          </rPr>
          <t>This section considers factors that influence future business performance.  A relative indicator is used to reflect unit changes in these factors.   The base year relative indicator for each factor is defined as 100%.  Relative indicators for each of the next three years are applied to reflect likely changes in the unit cost or strength of the factor.  Each indicator is relative to the prior year.  A 10% increase from the previous year is reflected by a relative indicator of 110%.  A 10% decrease from the previous year is reflected by a relative indicator of 90%.  Relative indicators for costs reflect changes in the base unit of the expense such as labor costs per hour or material costs per unit.</t>
        </r>
      </text>
    </comment>
    <comment ref="C38" authorId="0" shapeId="0" xr:uid="{00000000-0006-0000-0100-000018000000}">
      <text>
        <r>
          <rPr>
            <sz val="8"/>
            <color indexed="81"/>
            <rFont val="Tahoma"/>
            <family val="2"/>
          </rPr>
          <t>Relative Indicators are required for each factor for Years 1 to 3. If there is no change from the previous year the Relative Indicator is 100%. You have provided Revenue and Costs details for the current Year.  Year 1 is the year following the Current Year, Year 2 follows Year 1, and Year 3 follows Year 2.</t>
        </r>
      </text>
    </comment>
    <comment ref="C39" authorId="0" shapeId="0" xr:uid="{00000000-0006-0000-0100-000019000000}">
      <text>
        <r>
          <rPr>
            <sz val="8"/>
            <color indexed="81"/>
            <rFont val="Tahoma"/>
            <family val="2"/>
          </rPr>
          <t>Input the percentage relative indicator to reflect the level of change from the previous year.  Consider the number of competitors, competitor strategies, potential new entrants.  This indicator has an inverse relationship to forecast Business Revenue.  All things being equal as the level of competition increases Business Revenue decreases.</t>
        </r>
      </text>
    </comment>
    <comment ref="C40" authorId="0" shapeId="0" xr:uid="{00000000-0006-0000-0100-00001A000000}">
      <text>
        <r>
          <rPr>
            <sz val="8"/>
            <color indexed="81"/>
            <rFont val="Tahoma"/>
            <family val="2"/>
          </rPr>
          <t>Input the percentage relative indicator to reflect the level of change from the previous year.  Consider market growth, technology &amp; regulatory impacts and customer needs.  Market strength is an indicator of the demand for the type of product or service you provide. This indicator has a direct relationship to forecast Business Revenue.  All things being equal as market strength increases Business Revenue increases.</t>
        </r>
      </text>
    </comment>
    <comment ref="C41" authorId="0" shapeId="0" xr:uid="{00000000-0006-0000-0100-00001B000000}">
      <text>
        <r>
          <rPr>
            <sz val="8"/>
            <color indexed="81"/>
            <rFont val="Tahoma"/>
            <family val="2"/>
          </rPr>
          <t>Input the percentage relative indicator to reflect the level of change from the previous year.  Consider the potential changes in supplier pricing, sources of supply, your bargaining power, demand for materials, and possible alternative materials.  This indicator has a direct relationship to forecast Materials &amp; Supplies expenses.  All things being equal as the unit cost of materials and supplies increases this variable expense increases.</t>
        </r>
      </text>
    </comment>
    <comment ref="C42" authorId="0" shapeId="0" xr:uid="{00000000-0006-0000-0100-00001C000000}">
      <text>
        <r>
          <rPr>
            <sz val="8"/>
            <color indexed="81"/>
            <rFont val="Tahoma"/>
            <family val="2"/>
          </rPr>
          <t>Input the percentage relative indicator to reflect the level of change from the previous year.  Consider market forces and availability of skilled staff.  This indicator has a direct relationship to forecast variable and fixed Labor excluding Owner, and Labor Owner expenses.  All things being equal as the unit labor costs increase these labor expenses increase. It is also used to determine future Owners External Earning Power.</t>
        </r>
      </text>
    </comment>
    <comment ref="C43" authorId="0" shapeId="0" xr:uid="{00000000-0006-0000-0100-00001D000000}">
      <text>
        <r>
          <rPr>
            <sz val="8"/>
            <color indexed="81"/>
            <rFont val="Tahoma"/>
            <family val="2"/>
          </rPr>
          <t>Input the percentage relative indicator to reflect the level of change from the previous year.  This is percentage change not actual values.  For a current interest rate of 6% a relative indicator of 110% in Year 1 equates to 6.6%, a relative indicator of 110% in Year 2 takes this to 7.26%.  This indicator has a direct relationship to forecast Interest expenses.  All things being equal as interest rates increase this fixed expense increases.</t>
        </r>
      </text>
    </comment>
    <comment ref="C44" authorId="0" shapeId="0" xr:uid="{00000000-0006-0000-0100-00001E000000}">
      <text>
        <r>
          <rPr>
            <sz val="8"/>
            <color indexed="81"/>
            <rFont val="Tahoma"/>
            <family val="2"/>
          </rPr>
          <t>Input the percentage relative indicator to reflect the level of change from the previous year.  Consider your position in the market, and the impact of your current actions. This is a measure of your standing relative to the competition as perceived by potential consumers. If things will remain much the same input 100%, indicating no change over the previous year.  If you have actions to improve the position of your business by 10% then the input would be 110%. This indicator has a direct relationship to forecast Business Revenue. All thing being equal as market position increases Business Revenue increases.  Actions contributing to the business position must be substantiated and implemented to have an impact.</t>
        </r>
      </text>
    </comment>
    <comment ref="C45" authorId="0" shapeId="0" xr:uid="{00000000-0006-0000-0100-00001F000000}">
      <text>
        <r>
          <rPr>
            <sz val="8"/>
            <color indexed="81"/>
            <rFont val="Tahoma"/>
            <family val="2"/>
          </rPr>
          <t>Input the percentage relative indicator to reflect the level of change from the previous year.  This should reflect changes in the relationship between your Variable Costs and revenue.   If you have actions to improve your Variable Costs efficiency (decrease variable costs) by 10% over the previous year input 110%.  Consider changes in processes, distribution or the materials used.  This indicator has an inverse relationship to forecast Variable Costs Materials &amp; Supplies, Labor excluding Owner, Labor Owner, Distribution, Marketing and Other expenses. All things being equal as Variable Costs efficiency increases less materials, labor, distribution and marketing resources are required resulting in a decrease in these expenses.   Actions must be substantiated and implemented to have an impact.</t>
        </r>
      </text>
    </comment>
    <comment ref="C46" authorId="0" shapeId="0" xr:uid="{00000000-0006-0000-0100-000020000000}">
      <text>
        <r>
          <rPr>
            <sz val="8"/>
            <color indexed="81"/>
            <rFont val="Tahoma"/>
            <family val="2"/>
          </rPr>
          <t>Input the percentage relative indicator to reflect the level of change from the previous year.  Consider changes in administration processes and fixed labor requirements.  This indicator has an inverse relationship to forecast Fixed Costs Administration, Labor excluding Owner, Labor Owner, and Other expenses.   All things being equal as fixed costs efficiency increases less administration and labor resources are required resulting in a decrease in these expenses.  It does not apply to Location and Finance expenses.   Actions contributing to the business position must be substantiated and implemented to have an impact.</t>
        </r>
      </text>
    </comment>
    <comment ref="C48" authorId="0" shapeId="0" xr:uid="{00000000-0006-0000-0100-000021000000}">
      <text>
        <r>
          <rPr>
            <sz val="8"/>
            <color indexed="81"/>
            <rFont val="Tahoma"/>
            <family val="2"/>
          </rPr>
          <t>Input the percentage Fixed Costs Flow-on.  This indicates the estimated level of fixed costs adjustment to support revenue variations.  Fixed Costs are generally considered a constant expense, however large sustained revenue variations place pressure on fixed costs and usually result in an increased fixed expense.  This may include larger floor area, more administration costs, or higher financing.  The Fixed Costs Flow-on percentage is the amount of increase in fixed expense for a 100% increase in revenue.  An overhead flow-on of 20% reflects a 20% increase in fixed expense for every 100% increase in revenue.  This indicator has a direct relationship to all forecast Fixed Costs expenses.  All things being equal as the Fixed Cost Flow-on increases the Fixed Costs expense relative the revenue will increase.</t>
        </r>
      </text>
    </comment>
    <comment ref="B51" authorId="0" shapeId="0" xr:uid="{00000000-0006-0000-0100-000022000000}">
      <text>
        <r>
          <rPr>
            <sz val="8"/>
            <color indexed="81"/>
            <rFont val="Tahoma"/>
            <family val="2"/>
          </rPr>
          <t>This section provides data to value the business. Consideration is given to the owners earning power outside the business, the replacement value of business assets and their useful life. Property (Real Estate) valuations are considered constant throughout the period. Annual replacement costs for other business assets are calculated as the Replacement Value  divided by the Asset Life. This provides for constant reinvestment to maintain the business. This data is combined with the business forecast to determine a business valuation.</t>
        </r>
      </text>
    </comment>
    <comment ref="C53" authorId="0" shapeId="0" xr:uid="{00000000-0006-0000-0100-000023000000}">
      <text>
        <r>
          <rPr>
            <sz val="8"/>
            <color indexed="81"/>
            <rFont val="Tahoma"/>
            <family val="2"/>
          </rPr>
          <t>Input the percentage of work time the owner commits to the business.  This is used to determine the owners return for effort and indicates the available amount of owner resource.  Available resource will be applied to any forecast labor increase in Fixed, then Variable Costs where the owner currently contributes.</t>
        </r>
      </text>
    </comment>
    <comment ref="C54" authorId="0" shapeId="0" xr:uid="{00000000-0006-0000-0100-000024000000}">
      <text>
        <r>
          <rPr>
            <sz val="8"/>
            <color indexed="81"/>
            <rFont val="Tahoma"/>
            <family val="2"/>
          </rPr>
          <t>Input the annual income the owner could earn if employed outside the business.  Include any benefits.  The actual return from the business must compensate the owner for giving up External Earnings and provide the required return on Investment. A return on Investment only occurs after the owner has been compensated for External Earnings given up.</t>
        </r>
      </text>
    </comment>
    <comment ref="C55" authorId="0" shapeId="0" xr:uid="{00000000-0006-0000-0100-000025000000}">
      <text>
        <r>
          <rPr>
            <sz val="8"/>
            <color indexed="81"/>
            <rFont val="Tahoma"/>
            <family val="2"/>
          </rPr>
          <t>Input the replacement value of physical business assets.  Exclude property.  Consider vehicles, plant and equipment.  This forms a component of the total business investment.</t>
        </r>
      </text>
    </comment>
    <comment ref="C56" authorId="0" shapeId="0" xr:uid="{00000000-0006-0000-0100-000026000000}">
      <text>
        <r>
          <rPr>
            <sz val="8"/>
            <color indexed="81"/>
            <rFont val="Tahoma"/>
            <family val="2"/>
          </rPr>
          <t>Input the average life of the assets.  The Replacement Value of Business Assets will be divided by the Life of Assets to provide an indication of annual asset depreciation expense.  This will be used in determining the owners return from the business.</t>
        </r>
      </text>
    </comment>
    <comment ref="C57" authorId="0" shapeId="0" xr:uid="{00000000-0006-0000-0100-000027000000}">
      <text>
        <r>
          <rPr>
            <sz val="8"/>
            <color indexed="81"/>
            <rFont val="Tahoma"/>
            <family val="2"/>
          </rPr>
          <t>Input the estimated market value of property owned by the business.  Property values are considered stable over the forecast period and no depreciation is allowed for.  This forms a component of the total business investment.</t>
        </r>
      </text>
    </comment>
    <comment ref="C58" authorId="0" shapeId="0" xr:uid="{00000000-0006-0000-0100-000028000000}">
      <text>
        <r>
          <rPr>
            <sz val="8"/>
            <color indexed="81"/>
            <rFont val="Tahoma"/>
            <family val="2"/>
          </rPr>
          <t>This is the calculated value of any other investment made in the business.  It  consits of operating capital and goodwill.  This forms a component of the total business investment. This amount will be adjusted in-line with your Valuation Analysis.</t>
        </r>
      </text>
    </comment>
    <comment ref="C59" authorId="0" shapeId="0" xr:uid="{00000000-0006-0000-0100-000029000000}">
      <text>
        <r>
          <rPr>
            <sz val="8"/>
            <color indexed="81"/>
            <rFont val="Tahoma"/>
            <family val="2"/>
          </rPr>
          <t>The Total Investment in the business is the calculated Expected Valuation. It is the sum of Replacement Value of Business Assets, Market Value of Property, and Other Investment in Business.</t>
        </r>
      </text>
    </comment>
    <comment ref="C60" authorId="0" shapeId="0" xr:uid="{00000000-0006-0000-0100-00002A000000}">
      <text>
        <r>
          <rPr>
            <sz val="8"/>
            <color indexed="81"/>
            <rFont val="Tahoma"/>
            <family val="2"/>
          </rPr>
          <t>This is the amount of finance carried by the business. It is recommended that the business initially be valued with no Finance or Interest component i.e. 100% equity. This ensures the valuation provides the required return on the Total Investment. Once you have established a valuation you can then insert Finance details to determine the impact on the business.</t>
        </r>
      </text>
    </comment>
    <comment ref="D60" authorId="0" shapeId="0" xr:uid="{00000000-0006-0000-0100-00002B000000}">
      <text>
        <r>
          <rPr>
            <sz val="8"/>
            <color indexed="81"/>
            <rFont val="Arial"/>
            <family val="2"/>
          </rPr>
          <t>This is the calculated Interest Rate based on the Financed Amount and the annual Interest Cost from the Performance Data. No principle reduction is considered during the forecast period, only interest expense, principle components reflect assets.</t>
        </r>
      </text>
    </comment>
    <comment ref="C61" authorId="0" shapeId="0" xr:uid="{00000000-0006-0000-0100-00002C000000}">
      <text>
        <r>
          <rPr>
            <sz val="8"/>
            <color indexed="81"/>
            <rFont val="Tahoma"/>
            <family val="2"/>
          </rPr>
          <t>This is the equity level in the business. Total Investment less Financed amount.</t>
        </r>
      </text>
    </comment>
    <comment ref="B67" authorId="0" shapeId="0" xr:uid="{00000000-0006-0000-0100-00002D000000}">
      <text>
        <r>
          <rPr>
            <sz val="8"/>
            <color indexed="81"/>
            <rFont val="Tahoma"/>
            <family val="2"/>
          </rPr>
          <t>Sensitivity Analysis allows you to adjust your Relative Indicators by a set percentage to generate Optimistic and Pessimistic Forecasts.</t>
        </r>
      </text>
    </comment>
    <comment ref="B68" authorId="0" shapeId="0" xr:uid="{00000000-0006-0000-0100-00002E000000}">
      <text>
        <r>
          <rPr>
            <sz val="8"/>
            <color indexed="81"/>
            <rFont val="Tahoma"/>
            <family val="2"/>
          </rPr>
          <t>Simply input your desired Return on Investment to calculate your Business Valuation. If you have applied Sensitivity Analysis 3 valuations will be calculated; Optimistic, Expected, and Pessimistic.</t>
        </r>
      </text>
    </comment>
    <comment ref="B69" authorId="0" shapeId="0" xr:uid="{00000000-0006-0000-0100-00002F000000}">
      <text>
        <r>
          <rPr>
            <sz val="8"/>
            <color indexed="81"/>
            <rFont val="Tahoma"/>
            <family val="2"/>
          </rPr>
          <t>Full tabular results for your Expected Forecast and Return on Investment.</t>
        </r>
      </text>
    </comment>
    <comment ref="B70" authorId="0" shapeId="0" xr:uid="{00000000-0006-0000-0100-000030000000}">
      <text>
        <r>
          <rPr>
            <sz val="8"/>
            <color indexed="81"/>
            <rFont val="Tahoma"/>
            <family val="2"/>
          </rPr>
          <t>Full tabular results for your Optimistic Forecast and Return on Investment.</t>
        </r>
      </text>
    </comment>
    <comment ref="B71" authorId="0" shapeId="0" xr:uid="{00000000-0006-0000-0100-000031000000}">
      <text>
        <r>
          <rPr>
            <sz val="8"/>
            <color indexed="81"/>
            <rFont val="Tahoma"/>
            <family val="2"/>
          </rPr>
          <t>Full tabular results for your Pessimistic Forecast and Return on Investment.</t>
        </r>
      </text>
    </comment>
    <comment ref="B72" authorId="0" shapeId="0" xr:uid="{00000000-0006-0000-0100-000032000000}">
      <text>
        <r>
          <rPr>
            <sz val="8"/>
            <color indexed="81"/>
            <rFont val="Tahoma"/>
            <family val="2"/>
          </rPr>
          <t>3 Year Forecast Revenue Chart; Optimistic, Expected and Pessimistic.</t>
        </r>
      </text>
    </comment>
    <comment ref="B73" authorId="0" shapeId="0" xr:uid="{00000000-0006-0000-0100-000033000000}">
      <text>
        <r>
          <rPr>
            <sz val="8"/>
            <color indexed="81"/>
            <rFont val="Tahoma"/>
            <family val="2"/>
          </rPr>
          <t>3 Year Forecast Return Chart; Optimistic, Expected and Pessimistic. Return is the Owners Cash Flow less the Depreciation Allowance and Owners External Earning Power.</t>
        </r>
      </text>
    </comment>
    <comment ref="B74" authorId="0" shapeId="0" xr:uid="{00000000-0006-0000-0100-000034000000}">
      <text>
        <r>
          <rPr>
            <sz val="8"/>
            <color indexed="81"/>
            <rFont val="Tahoma"/>
            <family val="2"/>
          </rPr>
          <t>3 Year Expected Operating Surplus Chart including Variable and Fixed Costs.</t>
        </r>
      </text>
    </comment>
    <comment ref="B75" authorId="0" shapeId="0" xr:uid="{00000000-0006-0000-0100-000035000000}">
      <text>
        <r>
          <rPr>
            <sz val="8"/>
            <color indexed="81"/>
            <rFont val="Tahoma"/>
            <family val="2"/>
          </rPr>
          <t>3 Year Expected Operating Surplus on Sales, Return on Sales, and Return on Total Investment percentages.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Morcom</author>
  </authors>
  <commentList>
    <comment ref="E7" authorId="0" shapeId="0" xr:uid="{00000000-0006-0000-0200-000001000000}">
      <text>
        <r>
          <rPr>
            <sz val="8"/>
            <color indexed="81"/>
            <rFont val="Tahoma"/>
            <family val="2"/>
          </rPr>
          <t>Input the percentage improvement in Relative Indicators to generate an Optimistic Forecast. If you feel it is "reasonably likely" your Relative Indicators are 20% too low, input 20%.</t>
        </r>
      </text>
    </comment>
    <comment ref="E8" authorId="0" shapeId="0" xr:uid="{00000000-0006-0000-0200-000002000000}">
      <text>
        <r>
          <rPr>
            <sz val="8"/>
            <color indexed="81"/>
            <rFont val="Tahoma"/>
            <family val="2"/>
          </rPr>
          <t>Input the percentage degrade in Relative Indicators to generate a Pessimistic Forecast. If you feel it is "reasonably likely" your Relative Indicators are 20% too high, input 20%.</t>
        </r>
      </text>
    </comment>
    <comment ref="B10" authorId="0" shapeId="0" xr:uid="{00000000-0006-0000-0200-000003000000}">
      <text>
        <r>
          <rPr>
            <sz val="8"/>
            <color indexed="81"/>
            <rFont val="Tahoma"/>
            <family val="2"/>
          </rPr>
          <t>This is the forecast revenue generated by the business.</t>
        </r>
      </text>
    </comment>
    <comment ref="B11" authorId="0" shapeId="0" xr:uid="{00000000-0006-0000-0200-000004000000}">
      <text>
        <r>
          <rPr>
            <sz val="8"/>
            <color indexed="81"/>
            <rFont val="Tahoma"/>
            <family val="2"/>
          </rPr>
          <t>This is the forecast based on your Optimistic improvement to Relative Indicators.</t>
        </r>
      </text>
    </comment>
    <comment ref="B12" authorId="0" shapeId="0" xr:uid="{00000000-0006-0000-0200-000005000000}">
      <text>
        <r>
          <rPr>
            <sz val="8"/>
            <color indexed="81"/>
            <rFont val="Tahoma"/>
            <family val="2"/>
          </rPr>
          <t>This is the forecast based on the Relative Indicators you provided as input.</t>
        </r>
      </text>
    </comment>
    <comment ref="B13" authorId="0" shapeId="0" xr:uid="{00000000-0006-0000-0200-000006000000}">
      <text>
        <r>
          <rPr>
            <sz val="8"/>
            <color indexed="81"/>
            <rFont val="Tahoma"/>
            <family val="2"/>
          </rPr>
          <t>This is the forecast based on your Pessimistic degradation of Relative Indicators.</t>
        </r>
      </text>
    </comment>
    <comment ref="B14" authorId="0" shapeId="0" xr:uid="{00000000-0006-0000-0200-000007000000}">
      <text>
        <r>
          <rPr>
            <sz val="8"/>
            <color indexed="81"/>
            <rFont val="Tahoma"/>
            <family val="2"/>
          </rPr>
          <t>This is the Revenue less Variable and Fixed Costs including payment to the owner for labor provided.</t>
        </r>
      </text>
    </comment>
    <comment ref="B18" authorId="0" shapeId="0" xr:uid="{00000000-0006-0000-0200-000008000000}">
      <text>
        <r>
          <rPr>
            <sz val="8"/>
            <color indexed="81"/>
            <rFont val="Tahoma"/>
            <family val="2"/>
          </rPr>
          <t>This is the Operating Surplus plus any labor Earnings of the Owner.</t>
        </r>
      </text>
    </comment>
    <comment ref="B22" authorId="0" shapeId="0" xr:uid="{00000000-0006-0000-0200-000009000000}">
      <text>
        <r>
          <rPr>
            <sz val="8"/>
            <color indexed="81"/>
            <rFont val="Tahoma"/>
            <family val="2"/>
          </rPr>
          <t>Business Return is the Owners Cash Flow less a Depreciation Allowance and Owners External Earning Power. A Depreciation Allowance is required for the long term maintenance of the business. It is calculated as the Replacement Value of Business Assets divided by the Asset Lifetime. If the Depreciation Allowance is not reinvested business performance and value will decrease.  The Owners External Earning Power reflects the income given up by the owner to work in the business. This must be recouped through the business before there is any return on investment generated.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Morcom</author>
  </authors>
  <commentList>
    <comment ref="B18" authorId="0" shapeId="0" xr:uid="{00000000-0006-0000-0300-000001000000}">
      <text>
        <r>
          <rPr>
            <sz val="8"/>
            <color indexed="81"/>
            <rFont val="Tahoma"/>
            <family val="2"/>
          </rPr>
          <t>This is the Business Return as a percentage of the Total Investment. It is an indicator of the quality of the business investment. The higher the Return on Investment the better the investment. However as the level of risk increases a higher Return on Investment is required to compensate for the risk taken. Business Return is the Owners Cash Flow less a Depreciation Allowance and Owners External Earning Power.</t>
        </r>
      </text>
    </comment>
    <comment ref="C24" authorId="0" shapeId="0" xr:uid="{00000000-0006-0000-0300-000002000000}">
      <text>
        <r>
          <rPr>
            <sz val="8"/>
            <color indexed="81"/>
            <rFont val="Tahoma"/>
            <family val="2"/>
          </rPr>
          <t>Input your required Return on Investment. You should consider the level of risk associated with your investment and the return offered by alternative investments. If you can get 10% from a secure bank deposit with no (minimal) risk then you would expect substantially more from a business where you accept total responsibility for performance and risk your investment.</t>
        </r>
      </text>
    </comment>
    <comment ref="C25" authorId="0" shapeId="0" xr:uid="{00000000-0006-0000-0300-000003000000}">
      <text>
        <r>
          <rPr>
            <sz val="8"/>
            <color indexed="81"/>
            <rFont val="Tahoma"/>
            <family val="2"/>
          </rPr>
          <t>This Valuation is based on the Expected Forecast  and the required average 3 Year Return on Investment. It represents the Total Investment in the business and is an indication of Sale or Purchase price. Based on the Expected Forecast this is the maximum Investment that should be applied to this business to achieve the required Return on Investment.</t>
        </r>
      </text>
    </comment>
    <comment ref="C26" authorId="0" shapeId="0" xr:uid="{00000000-0006-0000-0300-000004000000}">
      <text>
        <r>
          <rPr>
            <sz val="8"/>
            <color indexed="81"/>
            <rFont val="Tahoma"/>
            <family val="2"/>
          </rPr>
          <t>This represents the Optimistic Valuation (high). It provides the required average 3 Year Return based on the Optimistic Forecast. However if the business does not provide a return inline with the Optimistic forecast the return on Investment will be less than required at this valuation.</t>
        </r>
      </text>
    </comment>
    <comment ref="C27" authorId="0" shapeId="0" xr:uid="{00000000-0006-0000-0300-000005000000}">
      <text>
        <r>
          <rPr>
            <sz val="8"/>
            <color indexed="81"/>
            <rFont val="Tahoma"/>
            <family val="2"/>
          </rPr>
          <t>This represents the Pessimistic Valuation (low). It provides the required average 3 Year Return based on the Pessimistic Forecast. If the business provides a return greater than the Pessimistic forecast the return on Investment will exceed that required at this valuation.</t>
        </r>
      </text>
    </comment>
  </commentList>
</comments>
</file>

<file path=xl/sharedStrings.xml><?xml version="1.0" encoding="utf-8"?>
<sst xmlns="http://schemas.openxmlformats.org/spreadsheetml/2006/main" count="350" uniqueCount="272">
  <si>
    <t>Market Value of Property</t>
  </si>
  <si>
    <t>Input the percentage of work hours applied to the business.</t>
  </si>
  <si>
    <t>How much could the owner earn if working outside the business?</t>
  </si>
  <si>
    <t>What is the value of business assets excluding property.</t>
  </si>
  <si>
    <t>What is the average life of the assets?</t>
  </si>
  <si>
    <t>Amount</t>
  </si>
  <si>
    <t>Interest</t>
  </si>
  <si>
    <t>Interest Costs</t>
  </si>
  <si>
    <t>Interest Rates</t>
  </si>
  <si>
    <t>Finance is currently set at</t>
  </si>
  <si>
    <t>Adjust Finance Amount</t>
  </si>
  <si>
    <t>Adjust Interest Cost</t>
  </si>
  <si>
    <t>Input the estimated market value of property owned by the business.  Property values are considered stable over the forecast period and no depreciation is allowed for.  This forms a component of the total business investment.</t>
  </si>
  <si>
    <t>Other Investment in Business</t>
  </si>
  <si>
    <t xml:space="preserve">This is the average annual Return on Total Investment over a three year period. </t>
  </si>
  <si>
    <t>Business Revenue</t>
  </si>
  <si>
    <t>Expenses</t>
  </si>
  <si>
    <t>% Revenue</t>
  </si>
  <si>
    <t>Gross Profit</t>
  </si>
  <si>
    <t>Gross Profit %</t>
  </si>
  <si>
    <t>Mark-up Equivalent</t>
  </si>
  <si>
    <t>Total Expenses</t>
  </si>
  <si>
    <t>Owner Cash Flow %</t>
  </si>
  <si>
    <t>Forecast</t>
  </si>
  <si>
    <t>Relative Indicator</t>
  </si>
  <si>
    <t>Current Year</t>
  </si>
  <si>
    <t>Year 1</t>
  </si>
  <si>
    <t>Year 2</t>
  </si>
  <si>
    <t>Year 3</t>
  </si>
  <si>
    <t>Investment</t>
  </si>
  <si>
    <t>Owners Time Commitment to Business</t>
  </si>
  <si>
    <t>Owners External Earning Power</t>
  </si>
  <si>
    <t>Total Investment</t>
  </si>
  <si>
    <t>Return</t>
  </si>
  <si>
    <t>3 Year Average</t>
  </si>
  <si>
    <t>Business Surplus on Sales</t>
  </si>
  <si>
    <t>Owner Cash Flow on Sales</t>
  </si>
  <si>
    <t>LESS</t>
  </si>
  <si>
    <t>Business Return</t>
  </si>
  <si>
    <t>Indicators are Relative to the prior year.</t>
  </si>
  <si>
    <t>&gt;100=Inc, &lt;100=Dec Market Strength.</t>
  </si>
  <si>
    <t>&gt;100=Inc, &lt;100=Dec base Costs.</t>
  </si>
  <si>
    <t>Pessimistic</t>
  </si>
  <si>
    <t>Sensitivity Analysis indicates a Return high of</t>
  </si>
  <si>
    <t>Pessimistic, degrade the variation of all Relative Indicators by</t>
  </si>
  <si>
    <t>Summary outputs are included on the Sensitivity and Valuation Analysis Sheets. Details are in tabular form on the Results Sheets and graphical form on the Chart Sheets. To view comments position your mouse over the red marker cell or click the hyperlink to access the Instruction Sheet. To display Sheets click the associated button or tab.</t>
  </si>
  <si>
    <t>Optimistic Return results in a Valuation of</t>
  </si>
  <si>
    <t>Pessimistic Return results in a Valuation of</t>
  </si>
  <si>
    <t>Expected Forecast</t>
  </si>
  <si>
    <t>Operating Surplus %</t>
  </si>
  <si>
    <t>The 3 Year Average Expected Business Return is</t>
  </si>
  <si>
    <t>Operating Surplus</t>
  </si>
  <si>
    <t xml:space="preserve">Operating surplus to owner including wages. </t>
  </si>
  <si>
    <t>&gt;100=Inc, &lt;100=Dec Competition.</t>
  </si>
  <si>
    <t>Financed Amount</t>
  </si>
  <si>
    <t>Equity Investment</t>
  </si>
  <si>
    <t>Percent</t>
  </si>
  <si>
    <t>Labor excluding Owner</t>
  </si>
  <si>
    <t>Owners Maximum Business Labor Earnings</t>
  </si>
  <si>
    <t>Labor Owner</t>
  </si>
  <si>
    <t>Labor Costs</t>
  </si>
  <si>
    <t>Owners Current Business Labor Earnings</t>
  </si>
  <si>
    <t>Sensitivity Analysis</t>
  </si>
  <si>
    <t>Owners Max Business Labor Earnings</t>
  </si>
  <si>
    <t>Optimistic, improve the variation of all Relative Indicators by</t>
  </si>
  <si>
    <t>Expected</t>
  </si>
  <si>
    <t>An average 3 Year Return on Investment of</t>
  </si>
  <si>
    <t>Expected Return results in a Valuation of</t>
  </si>
  <si>
    <t>Monetary</t>
  </si>
  <si>
    <t>Annual business revenue for the current year.</t>
  </si>
  <si>
    <t>Cost of an employee who could replace the owner.</t>
  </si>
  <si>
    <t>Cost of labor including all benefits and add-ons.</t>
  </si>
  <si>
    <t>Cost of marketing and promotion.</t>
  </si>
  <si>
    <t>Annual costs that vary with the level of revenue.</t>
  </si>
  <si>
    <t>Set the Expense Input as Monetary or Percent.</t>
  </si>
  <si>
    <t>Cost to get the product/service to the consumer.</t>
  </si>
  <si>
    <t>Any other costs incurred in the product/service.</t>
  </si>
  <si>
    <t>This appears on the Output Sheets.</t>
  </si>
  <si>
    <t>Cost of rent, utilities etc. Exclude ownership costs.</t>
  </si>
  <si>
    <t>Cost of administration supplies and requirements.</t>
  </si>
  <si>
    <t>Any other overhead costs not already included.</t>
  </si>
  <si>
    <t>This section reviews current business performance for a full year.</t>
  </si>
  <si>
    <t>Business Name or Identifier</t>
  </si>
  <si>
    <t xml:space="preserve">Operating surplus before taxation. </t>
  </si>
  <si>
    <t>Summary</t>
  </si>
  <si>
    <t>per year.</t>
  </si>
  <si>
    <t>to a low of</t>
  </si>
  <si>
    <t>For an average 3 Year Return on Investment of</t>
  </si>
  <si>
    <t>gives an Expected Valuation of</t>
  </si>
  <si>
    <t xml:space="preserve">The Average Expected Return from the business is </t>
  </si>
  <si>
    <t>Optimistic</t>
  </si>
  <si>
    <t>Sensitivity is currently set at</t>
  </si>
  <si>
    <t>Adjust Sensitivity</t>
  </si>
  <si>
    <t>Valuation Analysis</t>
  </si>
  <si>
    <t>Output - Business Valuation Model</t>
  </si>
  <si>
    <t>For questions, suggestions, support or additional business software please visit:</t>
  </si>
  <si>
    <t>The Business Valuation Model is designed to provide an economical, efficient and effective means to assess the value of a business.  The forecast input should be based on your subjective views.  These  are translated into quantifiable values for model operation.  There is no need to provide "perfect" answers.  Use your industry knowledge to make informed estimates.  The goal is to provide a streamline tool to indicate possible outcomes.  A recent business taxation return will assist in determining values for the Performance section. The Business Valuation Model combines Relative Indicators for future performance with basic financial data (Revenue, Variable Costs, and Fixed Costs) to value the business. This valuation method can be used for business purchase, sale, or establishment. It is compact, easy to use, and requires minimal inputs. Outputs include a 3 Year Forecast, Sensitivity Analysis, Investment Return, and calculated Business Valuation in tabular and graphical form.</t>
  </si>
  <si>
    <t>Input the percentage relative indicator to reflect the level of change from the previous year.  Consider the number of competitors, competitor strategies, potential new entrants.  This indicator has an inverse relationship to forecast Business Revenue.  All things being equal as the level of competition increases Business Revenue decreases.</t>
  </si>
  <si>
    <t>Input</t>
  </si>
  <si>
    <t>Outline</t>
  </si>
  <si>
    <t>Contact Details</t>
  </si>
  <si>
    <t>Cost of items used in the product/service or resold.</t>
  </si>
  <si>
    <t>&gt;100=Inc, &lt;100=Dec Business Position.</t>
  </si>
  <si>
    <t>Business Return is the Owners Cash Flow less a Depreciation Allowance and Owners External Earning Power. A Depreciation Allowance is required for the long term maintenance of the business. It is calculated as the Replacement Value of Business Assets divided by the Asset Lifetime. If the Depreciation Allowance is not reinvested business performance and value will decrease. The Owners External Earning Power reflects the income given up by the owner to work in the business. This must be recouped through the business before there is any return on investment generated.</t>
  </si>
  <si>
    <t>&gt;100=Inc, &lt;100=Dec base Interest.</t>
  </si>
  <si>
    <t>Output Sheets</t>
  </si>
  <si>
    <t>Overview</t>
  </si>
  <si>
    <t>Input a name for the business. This appears as an identifier on the Output Sheets.</t>
  </si>
  <si>
    <t>Input the Revenue generated by the business for the current year.</t>
  </si>
  <si>
    <t>Select your Expense input as Monetary or Percent. This allows you to input your Expenses directly in Monetary (Dollars, Pounds etc) or Percentage terms.</t>
  </si>
  <si>
    <t>Owner Cash Flow is the Operating Surplus plus the value of any Labor provided by the Owner. If the owner provides no labor for the business Owner Cash flow and Operating Surplus will be equal.</t>
  </si>
  <si>
    <t>This section considers factors that influence future business performance.  A relative indicator is used to reflect unit changes in these factors.   The base year relative indicator for each factor is defined as 100%.  Relative indicators for each of the next three years are applied to reflect likely changes in the unit cost or strength of the factor.  Each indicator is relative to the prior year.  A 10% increase from the previous year is reflected by a relative indicator of 110%.  A 10% decrease from the previous year is reflected by a relative indicator of 90%.  Relative indicators for costs reflect changes in the base unit of the expense such as labor costs per hour or material costs per unit.</t>
  </si>
  <si>
    <t>Relative Indicators are required for each factor for Years 1 to 3. If there is no change from the previous year the Relative Indicator is 100%. You have provided Revenue and Costs details for the current Year.  Year 1 is the year following the Current Year, Year 2 follows Year 1, and Year 3 follows Year 2.</t>
  </si>
  <si>
    <t>Input the percentage relative indicator to reflect the level of change from the previous year.  Consider market growth, technology &amp; regulatory impacts and customer needs.  Market strength is an indicator of the demand for the type of product or service you provide. This indicator has a direct relationship to forecast Business Revenue.  All things being equal as market strength increases Business Revenue increases.</t>
  </si>
  <si>
    <t>This section provides data to value the business. Consideration is given to the owners earning power outside the business, the replacement value of business assets and their useful life. Property (Real Estate) valuations are considered constant throughout the period. Annual replacement costs for other business assets are calculated as the Replacement Value  divided by the Asset Life. This provides for constant reinvestment to maintain the business. This data is combined with the business forecast to determine a business valuation.</t>
  </si>
  <si>
    <t>Input the annual income the owner could earn if employed outside the business.  Include any benefits.  The actual return from the business must compensate the owner for giving up External Earnings and provide the required return on Investment. A return on Investment only occurs after the owner has been compensated for External Earnings given up.</t>
  </si>
  <si>
    <t>Input the replacement value of physical business assets.  Exclude property.  Consider vehicles, plant and equipment.  This forms a component of the total business investment.</t>
  </si>
  <si>
    <t>This is the amount of finance carried by the business. It is recommended that the business initially be valued with no Finance or Interest component i.e. 100% equity. This ensures the valuation provides the required return on the Total Investment. Once you have established a valuation you can then insert Finance details to determine the impact on the business. The calculated Interest Rate is based on the Financed Amount and the annual Interest Cost from the Performance Data. No principle reduction is considered during the forecast period, only interest expense, principle components reflect assets.</t>
  </si>
  <si>
    <t>Sensitivity Analysis allows you to adjust your Relative Indicators by a set percentage to generate Optimistic and Pessimistic Forecasts.</t>
  </si>
  <si>
    <t>Optimistic Input</t>
  </si>
  <si>
    <t>This is the forecast revenue generated by the business.</t>
  </si>
  <si>
    <t>This is the forecast based on the Relative Indicators you provided as input.</t>
  </si>
  <si>
    <t>This is the Operating Surplus plus any labor Earnings of the Owner.</t>
  </si>
  <si>
    <t>Simply input your desired Return on Investment to calculate your Business Valuation. If you have applied Sensitivity Analysis 3 valuations will be calculated; Optimistic, Expected, and Pessimistic.</t>
  </si>
  <si>
    <t>This is the Business Return as a percentage of the Total Investment. It is an indicator of the quality of the business investment. The higher the Return on Investment the better the investment. However as the level of risk increases a higher Return on Investment is required to compensate for the risk taken. Business Return is the Owners Cash Flow less a Depreciation Allowance and Owners External Earning Power.</t>
  </si>
  <si>
    <t>Expected Valuation</t>
  </si>
  <si>
    <t>Optimistic Valuation</t>
  </si>
  <si>
    <t>Required Return on Investment</t>
  </si>
  <si>
    <t>This represents the Optimistic Valuation (high). It provides the required average 3 Year Return based on the Optimistic Forecast. However if the business does not provide a return inline with the Optimistic forecast the return on Investment will be less than required at this valuation.</t>
  </si>
  <si>
    <t>Full tabular results for your Expected Forecast and Return on Investment.</t>
  </si>
  <si>
    <t>Full tabular results for your Optimistic Forecast and Return on Investment.</t>
  </si>
  <si>
    <t>Full tabular results for your Pessimistic Forecast and Return on Investment.</t>
  </si>
  <si>
    <t>3 Year Forecast Revenue Chart; Optimistic, Expected and Pessimistic.</t>
  </si>
  <si>
    <t>3 Year Forecast Return Chart; Optimistic, Expected and Pessimistic. Return is the Owners Cash Flow less the Depreciation Allowance and Owners External Earning Power.</t>
  </si>
  <si>
    <t>3 Year Expected Operating Surplus on Sales, Return on Sales, and Return on Total Investment percentages.</t>
  </si>
  <si>
    <t>(Set Interest &amp; Amount to 0 for initial Valuation)</t>
  </si>
  <si>
    <t>Input the percentage improvement in Relative Indicators to generate an Optimistic Forecast. If you feel it is "reasonably likely" your Relative Indicators are 20% too low, input 20%.</t>
  </si>
  <si>
    <t>Pessimistic Input</t>
  </si>
  <si>
    <t>Input the percentage degrade in Relative Indicators to generate a Pessimistic Forecast. If you feel it is "reasonably likely" your Relative Indicators are 20% too high, input 20%.</t>
  </si>
  <si>
    <t>This is the forecast based on your Optimistic improvement to Relative Indicators.</t>
  </si>
  <si>
    <t>This is the forecast based on your Pessimistic degradation of Relative Indicators.</t>
  </si>
  <si>
    <t>refer to Valuation Analysis for details.</t>
  </si>
  <si>
    <t>Current Expected Valuation is</t>
  </si>
  <si>
    <t>This Valuation is based on the Expected Forecast  and the required average 3 Year Return on Investment. It represents the Total Investment in the business and is an indication of Sale or Purchase price. Based on the Expected Forecast this is the maximum Investment that should be applied to this business to achieve the required Return on Investment.</t>
  </si>
  <si>
    <t>Pessimistic Valuation</t>
  </si>
  <si>
    <t>This represents the Pessimistic Valuation (low). It provides the required average 3 Year Return based on the Pessimistic Forecast. If the business provides a return greater than the Pessimistic forecast the return on Investment will exceed that required at this valuation.</t>
  </si>
  <si>
    <t>Instruction Sheet</t>
  </si>
  <si>
    <t>Total Variable Costs %</t>
  </si>
  <si>
    <t>Total Fixed Costs %</t>
  </si>
  <si>
    <t>All input is on the Input &amp; Analysis Sheets. Click the tab or hyperlinks to access. Blue cells allow input.</t>
  </si>
  <si>
    <t>Variable Costs vary with the volume of product or service you provide.  Only include these costs in this section and allocate them into one of the six categories.</t>
  </si>
  <si>
    <t>Input the annual variable expense for materials and supplies directly related to producing your product or providing your service.</t>
  </si>
  <si>
    <t>Input the annual variable expense for labor (excluding the owner) directly related to producing your product or providing your service.  Labor expenses should include all associated on-costs and benefits.</t>
  </si>
  <si>
    <t>Input the annual value of labor provided by the owner that is directly related to producing your product or providing your service.  This variable expense should reflect the effective labor effort and can be estimated as the cost of an employee who could replace the owner.  Labor expenses should include all associated on-costs and benefits.</t>
  </si>
  <si>
    <t>Input the annual variable expense for distribution of your product or service.  This may include freight costs, packaging, and vehicle running costs.</t>
  </si>
  <si>
    <t>Input any annual variable expenses not already accounted for.</t>
  </si>
  <si>
    <t>This is the sum of the variable expenses. It is expressed as a monetary value and as a percentage of revenue.</t>
  </si>
  <si>
    <t>Fixed Costs are expenses which remain constant (up to a point) while the volume of sales vary.  Only include these costs in this section and allocate them into one of the six categories.</t>
  </si>
  <si>
    <t>Input the annual fixed location expense.  Include rent, power and light, maintenance, building insurance, security, and cleaning.  If you own the property do not include purchase or finance costs.</t>
  </si>
  <si>
    <t>Input the annual fixed administration expense.   Include office phone, equipment costs, and stationary.</t>
  </si>
  <si>
    <t>Input the annual fixed labor expense (excluding owner).  This should include any labor expense not already accounted for in variable costs.  Labor expenses should include all associated on-costs and benefits.</t>
  </si>
  <si>
    <t>This is the calculated value of any other investment made in the business.  It  consits of operating capital and goodwill.  This forms a component of the total business investment. This amount will be adjusted in-line with your Valuation Analysis.</t>
  </si>
  <si>
    <t>The Total Investment in the business is the calculated Expected Valuation. It is the sum of Replacement Value of Business Assets, Market Value of Property, and Other Investment in Business.</t>
  </si>
  <si>
    <t>Input the annual value of fixed cost labor provided by the owner.  This should include the value of any labor which has not already been accounted for in variable costs.  This fixed expense should reflect the effective labor effort and can be estimated as the cost of an employee who could replace the owner.  Labor expenses should include all associated on-costs and benefits.</t>
  </si>
  <si>
    <t>Input the annual fixed Interest Cost.  Include only the interest component of loan repayments.  Principle components reflect assets. It is recommended that the business initially be valued with no Finance or Interest component i.e. 100% equity. This ensures the valuation provides the required return on the Total Investment. Once you have established valuation details you can then insert Finance details to determine the impact on the business.</t>
  </si>
  <si>
    <t>Input any annual fixed expenses not already accounted for.</t>
  </si>
  <si>
    <t>This is the sum of the fixed expenses. It is expressed as a monetary value and as a percentage of revenue.</t>
  </si>
  <si>
    <t>Operating Surplus reflects the before tax operating profit/loss of the business for the full years trading. It is calculated as the Revenue less Total Variable Costs less Total Fixed Costs. It excludes asset investment. Assets include property, equipment, and capital reinvestment in the business.  These investment components are considered in the Investment section. The Operating Surplus represents the day to day (short term) business performance.</t>
  </si>
  <si>
    <t>Input the percentage relative indicator to reflect the level of change from the previous year.  Consider the potential changes in supplier pricing, sources of supply, your bargaining power, demand for materials, and possible alternative materials.  This indicator has a direct relationship to forecast Materials &amp; Supplies expenses.  All things being equal as the unit cost of materials and supplies increases this Variable Cost expense increases.</t>
  </si>
  <si>
    <t>Input the percentage relative indicator to reflect the level of change from the previous year.  Consider market forces and availability of skilled staff.  This indicator has a direct relationship to forecast Variable and Fixed Cost Labor excluding Owner, and Labor Owner expenses.  All things being equal as the unit labor costs increase these labor expenses increase. It is also used to determine future Owners External Earning Power.</t>
  </si>
  <si>
    <t>Input the percentage relative indicator to reflect the level of change from the previous year.  This is percentage change not actual values.  For a current interest rate of 6% a relative indicator of 110% in Year 1 equates to 6.6%, a relative indicator of 110% in Year 2 takes this to 7.26%.  This indicator has a direct relationship to forecast Interest expenses.  All things being equal as interest rates increase this Variable Cost expense increases.</t>
  </si>
  <si>
    <t>Example Business</t>
  </si>
  <si>
    <t>Input the percentage relative indicator to reflect the level of change from the previous year.  Consider changes in administration processes and Fixed Cost labor requirements.  This indicator has an inverse relationship to forecast Fixed Costs Administration, Labor excluding Owner, Labor Owner, and Other expenses.   All things being equal as Fixed Costs efficiency increases less administration and labor resources are required resulting in a decrease in these expenses.  It does not apply to Location and Finance expenses.   Actions contributing to the business position must be substantiated and implemented to have an impact.  You can use the Decision Assistant Model to value your actions and determine their business impact, this is available from the bizpeponline.com web site.</t>
  </si>
  <si>
    <t>Fixed Costs Flow-on</t>
  </si>
  <si>
    <t>The % increase in Fixed Costs for each 100% increase in revenue.</t>
  </si>
  <si>
    <t>Total Fixed Costs and their % of Revenue.</t>
  </si>
  <si>
    <t>Total Variable Costs and their % of Revenue</t>
  </si>
  <si>
    <t>Input the percentage of work time the owner commits to the business.  This is used to determine the owners return for effort and indicates the available amount of owner resource.  Available resource will be applied to any forecast labor increase in Fixed, then Variable Costs where the owner currently contributes.</t>
  </si>
  <si>
    <t>This is the Revenue less Variable and Fixed Costs including payment to the owner for labor provided.</t>
  </si>
  <si>
    <t>3 Year Expected Operating Surplus Chart including Variable and Fixed Costs.</t>
  </si>
  <si>
    <t>This section reviews the current performance of your business for a full year period. It is designed to assess the level of expenses that vary with your sales (Variable Costs) and those that don't (Fixed Costs).  It also allocates a realistic labor cost for the owners effort.  The focus is on cash flow excluding assets and  taxation.  Broad expense categories are provided.  Labels in blue cells can be adjusted however they should reflect the original label type to ensure formula are applied correctly. Values can be based on the previous years tax return adjusted for current trading.  Inputs do not have to be perfect but should reasonably reflect business operation.</t>
  </si>
  <si>
    <t>Input the annual variable expense for marketing.  Include advertising, promotional publications, sponsorships, client functions, and any marketing or sales expense. Marketing is not essentially a variable expense, however it is assumed that marketing does influence the level of sales and a relationship exists between the level of marketing and the level of sales.  It is on this basis that it forms a component of Variable Costs.</t>
  </si>
  <si>
    <t>Input the percentage relative indicator to reflect the level of change from the previous year.  Consider your position in the market, and the impact of your current actions. This is a measure of your standing relative to the competition as perceived by potential consumers. If things will remain much the same input 100%, indicating no change over the previous year.  If you have actions to improve the position of your business by 10% then the input would be 110%. This indicator has a direct relationship to forecast Business Revenue. All thing being equal as market position increases Business Revenue increases.  Actions contributing to the business position must be substantiated and implemented to have an impact.</t>
  </si>
  <si>
    <t>Input the percentage relative indicator to reflect the level of change from the previous year.  This should reflect changes in the relationship between your Variable Costs and revenue.   If you have actions to improve your Variable Costs efficiency (decrease variable costs) by 10% over the previous year input 110%.  Consider changes in processes, distribution or the materials used.  This indicator has an inverse relationship to forecast Variable Costs Materials &amp; Supplies, Labor excluding Owner, Labor Owner, Distribution, Marketing and Other expenses. All things being equal as Variable Costs Efficiency increases less materials, labor, distribution and marketing resources are required resulting in a decrease in these expenses.   Actions must be substantiated and implemented to have an impact.</t>
  </si>
  <si>
    <t>Input the percentage Fixed Costs Flow-on.  This indicates the estimated level of fixed costs adjustment to support revenue variations.  Fixed Costs are generally considered a constant expense, however large sustained revenue variations place pressure on fixed costs and usually result in an increased fixed cost expense.  This may include larger floor area, more administration costs, or higher financing.  The Fixed Costs Flow-on percentage is the amount of increase in Fixed Costs expense for a 100% increase in revenue.  An fixed costs flow-on of 20% reflects a 20% increase in Fixed Costs expense for every 100% increase in revenue.  This indicator has a direct relationship to all forecast Fixed Cost expenses.</t>
  </si>
  <si>
    <t>Total Investment is currently set at</t>
  </si>
  <si>
    <t>Input amount financed, interest rate is calculated.</t>
  </si>
  <si>
    <t>Valuation Data</t>
  </si>
  <si>
    <t>Forecast Data</t>
  </si>
  <si>
    <t>Current Operating Performance Data</t>
  </si>
  <si>
    <t>% Return on Total Investment</t>
  </si>
  <si>
    <t>Return on Total Investment</t>
  </si>
  <si>
    <t>Return on Sales</t>
  </si>
  <si>
    <t>Depreciation Allowance</t>
  </si>
  <si>
    <t>Optimistic Forecast improved by</t>
  </si>
  <si>
    <t>Pessimistic Forecast degraded by</t>
  </si>
  <si>
    <t>How much could you sell the business real estate for?</t>
  </si>
  <si>
    <t>Annual costs that do not vary with revenue.</t>
  </si>
  <si>
    <t>Variable Costs</t>
  </si>
  <si>
    <t>Total Variable Costs</t>
  </si>
  <si>
    <t>Current Expected Valuation</t>
  </si>
  <si>
    <t>Input sensitivity factors to determine your forecast and valuation range.</t>
  </si>
  <si>
    <t>Input your desired Return on Investment to calculate the Business Valuation.</t>
  </si>
  <si>
    <t>View Expected Business 3 Year Forecast in detail.</t>
  </si>
  <si>
    <t>View Optimistic 3 Year Business Forecast in detail.</t>
  </si>
  <si>
    <t>View Pessimistic 3 Year Business Forecast in detail.</t>
  </si>
  <si>
    <t>View 3 Year Forecast business Revenue; Optimistic, Expected, and Pessimistic.</t>
  </si>
  <si>
    <t>View 3 Year Forecast business Return; Optimistic, Expected, and Pessimistic.</t>
  </si>
  <si>
    <t>View 3 Year Forecast Expected Suplus and Costs.</t>
  </si>
  <si>
    <t>View 3 Year Forecast Expected Surplus &amp; Return on Sales and Return on Investment %.</t>
  </si>
  <si>
    <t>This is the calculated Current Expected Valuation.</t>
  </si>
  <si>
    <t>This is the calculated Optimistic Valuation.</t>
  </si>
  <si>
    <t>This is the calculated Pessimistic Valuation.</t>
  </si>
  <si>
    <t>Summary outputs are included on the Sensitivity and Valuation Analysis Sheets. Details are in tabular form on the Results Sheets and graphical form on the Chart Sheets. To display Sheets click the required sheet tab.</t>
  </si>
  <si>
    <t>Fixed Costs</t>
  </si>
  <si>
    <t>Total Fixed Costs</t>
  </si>
  <si>
    <t>Blue cells allow input. View comments by positioning your mouse over the red marker cell or click the hyperlink for the</t>
  </si>
  <si>
    <t>Variable Costs Efficiency</t>
  </si>
  <si>
    <t>Fixed Costs Efficiency</t>
  </si>
  <si>
    <t xml:space="preserve">&gt;100=Inc, &lt;100=Dec Fixed Efficiency. </t>
  </si>
  <si>
    <t>&gt;100=Inc, &lt;100=Dec Variable Efficiency.</t>
  </si>
  <si>
    <t xml:space="preserve">Interest component of loans, Set to 0 for valuation. </t>
  </si>
  <si>
    <t>Input Relative Indicators to build a 3 Year Forecast.</t>
  </si>
  <si>
    <t xml:space="preserve">Operating capital, goodwill, etc. This is adjusted by Valuation. </t>
  </si>
  <si>
    <t>Forecast Revenue Chart</t>
  </si>
  <si>
    <t>Forecast Return Chart</t>
  </si>
  <si>
    <t>Operating Surplus Chart</t>
  </si>
  <si>
    <t>Surplus &amp; Return Chart</t>
  </si>
  <si>
    <t>Optimistic Results</t>
  </si>
  <si>
    <t>Expected Results</t>
  </si>
  <si>
    <t>Pessimistic Results</t>
  </si>
  <si>
    <t>This is the amount of equity in the business.</t>
  </si>
  <si>
    <t>Go to Valuation</t>
  </si>
  <si>
    <t>To test the sensitivity of your forecast input adjustment percentages in the blue cells. Green cells provide Optimistic results, yellow cells Expected, and tan cells Pessimistic. An Output Summary is provided at the bottom of this sheet.</t>
  </si>
  <si>
    <t>Input your required Return on Investment.</t>
  </si>
  <si>
    <t>This is used for Return Calculations.</t>
  </si>
  <si>
    <t>Input your desired Return on Investment to generate a Valuation. To Update the Return calculations input your Valuation and click the Update Button. All input is in the blue cells. Green cells provide Optimistic results, yellow cells Expected, and tan cells Pessimistic. An Output Summary is provided at the bottom of this sheet.</t>
  </si>
  <si>
    <t>Sensitivity Analysis indicates a Valuation high of</t>
  </si>
  <si>
    <t>.</t>
  </si>
  <si>
    <t>Materials &amp; Supplies</t>
  </si>
  <si>
    <t>Distribution</t>
  </si>
  <si>
    <t>Marketing</t>
  </si>
  <si>
    <t>Other</t>
  </si>
  <si>
    <t>Location</t>
  </si>
  <si>
    <t>Administration</t>
  </si>
  <si>
    <t>Owner Cash Flow</t>
  </si>
  <si>
    <t>Level of Competition</t>
  </si>
  <si>
    <t>Market Strength</t>
  </si>
  <si>
    <t>Materials &amp; Supplies Costs</t>
  </si>
  <si>
    <t>Business Market Position</t>
  </si>
  <si>
    <t>Replacement Value of Business Assets</t>
  </si>
  <si>
    <t>Life of Assets (years)</t>
  </si>
  <si>
    <t>Input the average life of the assets.  The Replacement Value of Business Assets will be divided by the Life of Assets to provide an indication of annual asset depreciation expense.  This will be used in determining the owners return from the business.</t>
  </si>
  <si>
    <t>Input Licensed Email Address:</t>
  </si>
  <si>
    <t>Input License Code:</t>
  </si>
  <si>
    <t>License Valid to Date:</t>
  </si>
  <si>
    <t>Locked</t>
  </si>
  <si>
    <t>Business Valuation</t>
  </si>
  <si>
    <t>To start use the sheet tabs to select the Input sheet.</t>
  </si>
  <si>
    <t>Business Valuation is designed to provide an economical, efficient and effective means to assess the value of a business. This valuation method can be used for business purchase, sale, or establishment. It is compact, easy to use, and requires minimal inputs. Outputs include a 3 Year Forecast, Sensitivity Analysis, Investment Return, and calculated Business Valuation in tabular and graphical form.</t>
  </si>
  <si>
    <t>Input is in the blue cells. Non-input cells are protected to maintain formula integrity.</t>
  </si>
  <si>
    <t>Instructions…</t>
  </si>
  <si>
    <t>Application License Details:</t>
  </si>
  <si>
    <t>Suitability must be independently assessed and use indicates acceptance of any and all associated risk.</t>
  </si>
  <si>
    <t>https://bizpep.com/businessvaluation.html?display=license</t>
  </si>
  <si>
    <t>Input your License Details in the blue cells below</t>
  </si>
  <si>
    <t>b</t>
  </si>
  <si>
    <t>v</t>
  </si>
  <si>
    <t>Application is a standard spreadsheet .xlsx file developed with Microsoft Excel and will run on most spreadsheet applications.</t>
  </si>
  <si>
    <t>© bizpep.com</t>
  </si>
  <si>
    <t>https://bizpep.com/</t>
  </si>
  <si>
    <t>Build: 20250403 by bizpep.com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</si>
</sst>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 mmmm\ yy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b/>
      <u/>
      <sz val="10"/>
      <name val="Arial"/>
      <family val="2"/>
    </font>
    <font>
      <sz val="10"/>
      <color indexed="9"/>
      <name val="Arial"/>
      <family val="2"/>
    </font>
    <font>
      <sz val="8"/>
      <name val="Arial"/>
      <family val="2"/>
    </font>
    <font>
      <u/>
      <sz val="10"/>
      <name val="Arial"/>
      <family val="2"/>
    </font>
    <font>
      <b/>
      <sz val="14"/>
      <name val="Arial"/>
      <family val="2"/>
    </font>
    <font>
      <b/>
      <u/>
      <sz val="14"/>
      <color indexed="12"/>
      <name val="Arial"/>
      <family val="2"/>
    </font>
    <font>
      <b/>
      <u/>
      <sz val="10"/>
      <color indexed="12"/>
      <name val="Arial"/>
      <family val="2"/>
    </font>
    <font>
      <sz val="8"/>
      <color indexed="81"/>
      <name val="Tahoma"/>
      <family val="2"/>
    </font>
    <font>
      <sz val="8"/>
      <color indexed="81"/>
      <name val="Arial"/>
      <family val="2"/>
    </font>
    <font>
      <b/>
      <sz val="8"/>
      <name val="Arial"/>
      <family val="2"/>
    </font>
    <font>
      <b/>
      <sz val="10"/>
      <color indexed="10"/>
      <name val="Arial"/>
      <family val="2"/>
    </font>
    <font>
      <sz val="10"/>
      <color indexed="10"/>
      <name val="Arial"/>
      <family val="2"/>
    </font>
    <font>
      <b/>
      <sz val="14"/>
      <color indexed="10"/>
      <name val="Arial"/>
      <family val="2"/>
    </font>
    <font>
      <u/>
      <sz val="10"/>
      <color indexed="12"/>
      <name val="Arial"/>
      <family val="2"/>
    </font>
    <font>
      <b/>
      <sz val="10"/>
      <color indexed="58"/>
      <name val="Arial"/>
      <family val="2"/>
    </font>
    <font>
      <sz val="10"/>
      <color indexed="58"/>
      <name val="Arial"/>
      <family val="2"/>
    </font>
    <font>
      <u/>
      <sz val="11"/>
      <color indexed="12"/>
      <name val="Calibri"/>
      <family val="2"/>
    </font>
    <font>
      <sz val="10"/>
      <color indexed="8"/>
      <name val="Arial"/>
      <family val="2"/>
    </font>
    <font>
      <b/>
      <sz val="14"/>
      <color indexed="18"/>
      <name val="Arial"/>
      <family val="2"/>
    </font>
    <font>
      <b/>
      <sz val="10"/>
      <color indexed="8"/>
      <name val="Arial"/>
      <family val="2"/>
    </font>
    <font>
      <b/>
      <sz val="8"/>
      <color indexed="10"/>
      <name val="Arial"/>
      <family val="2"/>
    </font>
    <font>
      <sz val="10"/>
      <color rgb="FFFF0000"/>
      <name val="Arial"/>
      <family val="2"/>
    </font>
    <font>
      <b/>
      <sz val="10"/>
      <color rgb="FFFF0000"/>
      <name val="Arial"/>
      <family val="2"/>
    </font>
    <font>
      <sz val="8"/>
      <color theme="0"/>
      <name val="Arial"/>
      <family val="2"/>
    </font>
    <font>
      <u/>
      <sz val="10"/>
      <color theme="0"/>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4"/>
      </patternFill>
    </fill>
  </fills>
  <borders count="26">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dotted">
        <color indexed="8"/>
      </top>
      <bottom/>
      <diagonal/>
    </border>
    <border>
      <left/>
      <right/>
      <top style="dotted">
        <color indexed="8"/>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style="thin">
        <color indexed="64"/>
      </right>
      <top style="dotted">
        <color indexed="8"/>
      </top>
      <bottom/>
      <diagonal/>
    </border>
  </borders>
  <cellStyleXfs count="10">
    <xf numFmtId="0" fontId="0" fillId="2" borderId="0"/>
    <xf numFmtId="0" fontId="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 fillId="2" borderId="0"/>
    <xf numFmtId="0" fontId="5" fillId="0" borderId="0"/>
    <xf numFmtId="0" fontId="3" fillId="2" borderId="0">
      <alignment vertical="top"/>
    </xf>
    <xf numFmtId="0" fontId="3" fillId="2" borderId="0">
      <alignment vertical="top"/>
    </xf>
    <xf numFmtId="0" fontId="2" fillId="0" borderId="0"/>
    <xf numFmtId="0" fontId="23" fillId="0" borderId="0" applyNumberFormat="0" applyFill="0" applyBorder="0" applyAlignment="0" applyProtection="0">
      <alignment vertical="top"/>
      <protection locked="0"/>
    </xf>
    <xf numFmtId="0" fontId="1" fillId="0" borderId="0"/>
  </cellStyleXfs>
  <cellXfs count="484">
    <xf numFmtId="0" fontId="0" fillId="2" borderId="0" xfId="0"/>
    <xf numFmtId="0" fontId="3" fillId="2" borderId="0" xfId="5">
      <alignment vertical="top"/>
    </xf>
    <xf numFmtId="0" fontId="0" fillId="2" borderId="0" xfId="0" applyProtection="1">
      <protection hidden="1"/>
    </xf>
    <xf numFmtId="0" fontId="3" fillId="2" borderId="0" xfId="6" applyProtection="1">
      <alignment vertical="top"/>
      <protection hidden="1"/>
    </xf>
    <xf numFmtId="0" fontId="3" fillId="2" borderId="0" xfId="6">
      <alignment vertical="top"/>
    </xf>
    <xf numFmtId="49" fontId="3" fillId="2" borderId="0" xfId="5" applyNumberFormat="1" applyProtection="1">
      <alignment vertical="top"/>
      <protection hidden="1"/>
    </xf>
    <xf numFmtId="49" fontId="3" fillId="2" borderId="0" xfId="5" applyNumberFormat="1" applyAlignment="1" applyProtection="1">
      <alignment horizontal="justify" vertical="top" wrapText="1"/>
      <protection hidden="1"/>
    </xf>
    <xf numFmtId="49" fontId="3" fillId="2" borderId="0" xfId="5" applyNumberFormat="1" applyAlignment="1" applyProtection="1">
      <alignment horizontal="left" vertical="top" wrapText="1"/>
      <protection hidden="1"/>
    </xf>
    <xf numFmtId="0" fontId="3" fillId="2" borderId="0" xfId="5" applyAlignment="1">
      <alignment horizontal="left" vertical="top"/>
    </xf>
    <xf numFmtId="9" fontId="5" fillId="3" borderId="0" xfId="0" applyNumberFormat="1" applyFont="1" applyFill="1" applyAlignment="1" applyProtection="1">
      <alignment horizontal="center" vertical="top" wrapText="1"/>
      <protection hidden="1"/>
    </xf>
    <xf numFmtId="0" fontId="4" fillId="2" borderId="0" xfId="0" applyFont="1" applyAlignment="1" applyProtection="1">
      <alignment horizontal="center" wrapText="1"/>
      <protection hidden="1"/>
    </xf>
    <xf numFmtId="49" fontId="4" fillId="2" borderId="1" xfId="0" applyNumberFormat="1" applyFont="1" applyBorder="1" applyAlignment="1" applyProtection="1">
      <alignment horizontal="right" vertical="top" wrapText="1"/>
      <protection hidden="1"/>
    </xf>
    <xf numFmtId="49" fontId="6" fillId="2" borderId="2" xfId="1" applyNumberFormat="1" applyFill="1" applyBorder="1" applyAlignment="1" applyProtection="1">
      <alignment horizontal="right" vertical="top" wrapText="1"/>
      <protection hidden="1"/>
    </xf>
    <xf numFmtId="49" fontId="4" fillId="2" borderId="3" xfId="0" applyNumberFormat="1" applyFont="1" applyBorder="1" applyAlignment="1" applyProtection="1">
      <alignment horizontal="justify" vertical="top" wrapText="1"/>
      <protection hidden="1"/>
    </xf>
    <xf numFmtId="49" fontId="4" fillId="2" borderId="4" xfId="0" applyNumberFormat="1" applyFont="1" applyBorder="1" applyAlignment="1" applyProtection="1">
      <alignment horizontal="justify" vertical="top" wrapText="1"/>
      <protection hidden="1"/>
    </xf>
    <xf numFmtId="0" fontId="3" fillId="2" borderId="0" xfId="5" applyAlignment="1" applyProtection="1">
      <alignment horizontal="justify" vertical="top" wrapText="1"/>
      <protection hidden="1"/>
    </xf>
    <xf numFmtId="0" fontId="6" fillId="2" borderId="1" xfId="1" applyNumberFormat="1" applyFill="1" applyBorder="1" applyAlignment="1" applyProtection="1">
      <alignment horizontal="right" vertical="top" wrapText="1"/>
      <protection hidden="1"/>
    </xf>
    <xf numFmtId="49" fontId="4" fillId="3" borderId="5" xfId="0" applyNumberFormat="1" applyFont="1" applyFill="1" applyBorder="1" applyAlignment="1" applyProtection="1">
      <alignment horizontal="justify" vertical="top" wrapText="1"/>
      <protection hidden="1"/>
    </xf>
    <xf numFmtId="49" fontId="4" fillId="3" borderId="3" xfId="0" applyNumberFormat="1" applyFont="1" applyFill="1" applyBorder="1" applyAlignment="1" applyProtection="1">
      <alignment horizontal="justify" vertical="top" wrapText="1"/>
      <protection hidden="1"/>
    </xf>
    <xf numFmtId="0" fontId="4" fillId="2" borderId="6" xfId="6" applyFont="1" applyBorder="1" applyAlignment="1" applyProtection="1">
      <alignment horizontal="left" vertical="top" wrapText="1"/>
      <protection hidden="1"/>
    </xf>
    <xf numFmtId="0" fontId="7" fillId="2" borderId="0" xfId="6" applyFont="1" applyAlignment="1" applyProtection="1">
      <protection hidden="1"/>
    </xf>
    <xf numFmtId="0" fontId="7" fillId="2" borderId="0" xfId="6" applyFont="1" applyAlignment="1" applyProtection="1">
      <alignment wrapText="1"/>
      <protection hidden="1"/>
    </xf>
    <xf numFmtId="0" fontId="8" fillId="2" borderId="0" xfId="6" applyFont="1" applyAlignment="1" applyProtection="1">
      <alignment horizontal="center" wrapText="1"/>
      <protection hidden="1"/>
    </xf>
    <xf numFmtId="0" fontId="5" fillId="2" borderId="0" xfId="6" applyFont="1" applyAlignment="1" applyProtection="1">
      <alignment wrapText="1"/>
      <protection hidden="1"/>
    </xf>
    <xf numFmtId="0" fontId="8" fillId="2" borderId="0" xfId="6" applyFont="1" applyAlignment="1" applyProtection="1">
      <alignment wrapText="1"/>
      <protection hidden="1"/>
    </xf>
    <xf numFmtId="0" fontId="4" fillId="2" borderId="6" xfId="6" applyFont="1" applyBorder="1" applyAlignment="1" applyProtection="1">
      <alignment wrapText="1"/>
      <protection hidden="1"/>
    </xf>
    <xf numFmtId="0" fontId="4" fillId="2" borderId="1" xfId="6" applyFont="1" applyBorder="1" applyAlignment="1" applyProtection="1">
      <alignment wrapText="1"/>
      <protection hidden="1"/>
    </xf>
    <xf numFmtId="0" fontId="5" fillId="2" borderId="1" xfId="6" applyFont="1" applyBorder="1" applyAlignment="1" applyProtection="1">
      <alignment wrapText="1"/>
      <protection hidden="1"/>
    </xf>
    <xf numFmtId="0" fontId="5" fillId="2" borderId="6" xfId="6" applyFont="1" applyBorder="1" applyAlignment="1" applyProtection="1">
      <alignment wrapText="1"/>
      <protection hidden="1"/>
    </xf>
    <xf numFmtId="1" fontId="5" fillId="2" borderId="6" xfId="6" applyNumberFormat="1" applyFont="1" applyBorder="1" applyProtection="1">
      <alignment vertical="top"/>
      <protection hidden="1"/>
    </xf>
    <xf numFmtId="1" fontId="5" fillId="2" borderId="1" xfId="6" applyNumberFormat="1" applyFont="1" applyBorder="1" applyProtection="1">
      <alignment vertical="top"/>
      <protection hidden="1"/>
    </xf>
    <xf numFmtId="0" fontId="4" fillId="2" borderId="1" xfId="6" applyFont="1" applyBorder="1" applyAlignment="1" applyProtection="1">
      <alignment horizontal="right" vertical="top"/>
      <protection hidden="1"/>
    </xf>
    <xf numFmtId="3" fontId="5" fillId="2" borderId="7" xfId="6" applyNumberFormat="1" applyFont="1" applyBorder="1" applyProtection="1">
      <alignment vertical="top"/>
      <protection hidden="1"/>
    </xf>
    <xf numFmtId="3" fontId="5" fillId="2" borderId="6" xfId="6" applyNumberFormat="1" applyFont="1" applyBorder="1" applyProtection="1">
      <alignment vertical="top"/>
      <protection hidden="1"/>
    </xf>
    <xf numFmtId="0" fontId="5" fillId="2" borderId="1" xfId="6" applyFont="1" applyBorder="1" applyAlignment="1" applyProtection="1">
      <alignment horizontal="right" vertical="top"/>
      <protection hidden="1"/>
    </xf>
    <xf numFmtId="164" fontId="5" fillId="2" borderId="6" xfId="6" applyNumberFormat="1" applyFont="1" applyBorder="1" applyProtection="1">
      <alignment vertical="top"/>
      <protection hidden="1"/>
    </xf>
    <xf numFmtId="164" fontId="5" fillId="2" borderId="7" xfId="6" applyNumberFormat="1" applyFont="1" applyBorder="1" applyProtection="1">
      <alignment vertical="top"/>
      <protection hidden="1"/>
    </xf>
    <xf numFmtId="3" fontId="7" fillId="2" borderId="6" xfId="6" applyNumberFormat="1" applyFont="1" applyBorder="1" applyProtection="1">
      <alignment vertical="top"/>
      <protection hidden="1"/>
    </xf>
    <xf numFmtId="164" fontId="4" fillId="2" borderId="6" xfId="6" applyNumberFormat="1" applyFont="1" applyBorder="1" applyProtection="1">
      <alignment vertical="top"/>
      <protection hidden="1"/>
    </xf>
    <xf numFmtId="164" fontId="4" fillId="2" borderId="7" xfId="6" applyNumberFormat="1" applyFont="1" applyBorder="1" applyProtection="1">
      <alignment vertical="top"/>
      <protection hidden="1"/>
    </xf>
    <xf numFmtId="1" fontId="5" fillId="2" borderId="7" xfId="6" applyNumberFormat="1" applyFont="1" applyBorder="1" applyProtection="1">
      <alignment vertical="top"/>
      <protection hidden="1"/>
    </xf>
    <xf numFmtId="0" fontId="4" fillId="2" borderId="1" xfId="6" applyFont="1" applyBorder="1" applyAlignment="1" applyProtection="1">
      <alignment horizontal="left"/>
      <protection hidden="1"/>
    </xf>
    <xf numFmtId="0" fontId="4" fillId="2" borderId="1" xfId="6" applyFont="1" applyBorder="1" applyProtection="1">
      <alignment vertical="top"/>
      <protection hidden="1"/>
    </xf>
    <xf numFmtId="164" fontId="4" fillId="2" borderId="4" xfId="6" applyNumberFormat="1" applyFont="1" applyBorder="1" applyProtection="1">
      <alignment vertical="top"/>
      <protection hidden="1"/>
    </xf>
    <xf numFmtId="0" fontId="4" fillId="2" borderId="5" xfId="6" applyFont="1" applyBorder="1" applyAlignment="1" applyProtection="1">
      <alignment horizontal="center" vertical="top" wrapText="1"/>
      <protection hidden="1"/>
    </xf>
    <xf numFmtId="3" fontId="4" fillId="2" borderId="6" xfId="6" applyNumberFormat="1" applyFont="1" applyBorder="1" applyProtection="1">
      <alignment vertical="top"/>
      <protection hidden="1"/>
    </xf>
    <xf numFmtId="3" fontId="4" fillId="3" borderId="7" xfId="6" applyNumberFormat="1" applyFont="1" applyFill="1" applyBorder="1" applyProtection="1">
      <alignment vertical="top"/>
      <protection hidden="1"/>
    </xf>
    <xf numFmtId="3" fontId="4" fillId="3" borderId="0" xfId="6" applyNumberFormat="1" applyFont="1" applyFill="1" applyProtection="1">
      <alignment vertical="top"/>
      <protection hidden="1"/>
    </xf>
    <xf numFmtId="3" fontId="4" fillId="3" borderId="3" xfId="6" applyNumberFormat="1" applyFont="1" applyFill="1" applyBorder="1" applyProtection="1">
      <alignment vertical="top"/>
      <protection hidden="1"/>
    </xf>
    <xf numFmtId="3" fontId="5" fillId="3" borderId="7" xfId="6" applyNumberFormat="1" applyFont="1" applyFill="1" applyBorder="1" applyProtection="1">
      <alignment vertical="top"/>
      <protection hidden="1"/>
    </xf>
    <xf numFmtId="3" fontId="5" fillId="3" borderId="6" xfId="6" applyNumberFormat="1" applyFont="1" applyFill="1" applyBorder="1" applyProtection="1">
      <alignment vertical="top"/>
      <protection hidden="1"/>
    </xf>
    <xf numFmtId="3" fontId="7" fillId="3" borderId="6" xfId="6" applyNumberFormat="1" applyFont="1" applyFill="1" applyBorder="1" applyProtection="1">
      <alignment vertical="top"/>
      <protection hidden="1"/>
    </xf>
    <xf numFmtId="3" fontId="7" fillId="3" borderId="7" xfId="6" applyNumberFormat="1" applyFont="1" applyFill="1" applyBorder="1" applyProtection="1">
      <alignment vertical="top"/>
      <protection hidden="1"/>
    </xf>
    <xf numFmtId="0" fontId="0" fillId="2" borderId="0" xfId="0" applyAlignment="1" applyProtection="1">
      <alignment vertical="top" wrapText="1"/>
      <protection hidden="1"/>
    </xf>
    <xf numFmtId="0" fontId="5" fillId="2" borderId="0" xfId="6" applyFont="1" applyProtection="1">
      <alignment vertical="top"/>
      <protection hidden="1"/>
    </xf>
    <xf numFmtId="1" fontId="5" fillId="2" borderId="0" xfId="6" applyNumberFormat="1" applyFont="1" applyProtection="1">
      <alignment vertical="top"/>
      <protection hidden="1"/>
    </xf>
    <xf numFmtId="3" fontId="5" fillId="2" borderId="0" xfId="6" applyNumberFormat="1" applyFont="1" applyProtection="1">
      <alignment vertical="top"/>
      <protection hidden="1"/>
    </xf>
    <xf numFmtId="0" fontId="5" fillId="2" borderId="0" xfId="6" applyFont="1" applyAlignment="1" applyProtection="1">
      <alignment horizontal="center" vertical="top"/>
      <protection hidden="1"/>
    </xf>
    <xf numFmtId="0" fontId="4" fillId="2" borderId="0" xfId="6" applyFont="1" applyAlignment="1" applyProtection="1">
      <alignment horizontal="center" wrapText="1"/>
      <protection hidden="1"/>
    </xf>
    <xf numFmtId="9" fontId="4" fillId="2" borderId="0" xfId="6" applyNumberFormat="1" applyFont="1" applyAlignment="1" applyProtection="1">
      <alignment horizontal="center" wrapText="1"/>
      <protection hidden="1"/>
    </xf>
    <xf numFmtId="0" fontId="5" fillId="2" borderId="6" xfId="6" applyFont="1" applyBorder="1" applyProtection="1">
      <alignment vertical="top"/>
      <protection hidden="1"/>
    </xf>
    <xf numFmtId="3" fontId="5" fillId="0" borderId="0" xfId="0" applyNumberFormat="1" applyFont="1" applyFill="1" applyAlignment="1" applyProtection="1">
      <alignment vertical="top" wrapText="1"/>
      <protection hidden="1"/>
    </xf>
    <xf numFmtId="0" fontId="5" fillId="0" borderId="0" xfId="0" applyFont="1" applyFill="1" applyAlignment="1" applyProtection="1">
      <alignment horizontal="center" vertical="top" wrapText="1"/>
      <protection hidden="1"/>
    </xf>
    <xf numFmtId="3" fontId="4" fillId="3" borderId="0" xfId="0" applyNumberFormat="1" applyFont="1" applyFill="1" applyAlignment="1" applyProtection="1">
      <alignment horizontal="center" vertical="top" wrapText="1"/>
      <protection hidden="1"/>
    </xf>
    <xf numFmtId="0" fontId="0" fillId="2" borderId="0" xfId="0" applyAlignment="1" applyProtection="1">
      <alignment vertical="top"/>
      <protection hidden="1"/>
    </xf>
    <xf numFmtId="0" fontId="4" fillId="2" borderId="0" xfId="0" applyFont="1" applyAlignment="1" applyProtection="1">
      <alignment vertical="top" wrapText="1"/>
      <protection hidden="1"/>
    </xf>
    <xf numFmtId="0" fontId="0" fillId="2" borderId="0" xfId="0" applyAlignment="1" applyProtection="1">
      <alignment horizontal="justify" vertical="top" wrapText="1"/>
      <protection hidden="1"/>
    </xf>
    <xf numFmtId="0" fontId="3" fillId="2" borderId="0" xfId="6" applyAlignment="1" applyProtection="1">
      <alignment horizontal="justify" vertical="top" wrapText="1"/>
      <protection hidden="1"/>
    </xf>
    <xf numFmtId="0" fontId="3" fillId="2" borderId="0" xfId="6" applyAlignment="1">
      <alignment horizontal="justify" vertical="top" wrapText="1"/>
    </xf>
    <xf numFmtId="0" fontId="0" fillId="2" borderId="0" xfId="0" applyAlignment="1" applyProtection="1">
      <alignment horizontal="center" vertical="top" wrapText="1"/>
      <protection hidden="1"/>
    </xf>
    <xf numFmtId="0" fontId="3" fillId="2" borderId="0" xfId="6" applyAlignment="1" applyProtection="1">
      <alignment horizontal="center" vertical="top" wrapText="1"/>
      <protection hidden="1"/>
    </xf>
    <xf numFmtId="0" fontId="3" fillId="2" borderId="0" xfId="6" applyAlignment="1">
      <alignment horizontal="center" vertical="top" wrapText="1"/>
    </xf>
    <xf numFmtId="0" fontId="0" fillId="2" borderId="7" xfId="0" applyBorder="1" applyAlignment="1" applyProtection="1">
      <alignment vertical="top" wrapText="1"/>
      <protection hidden="1"/>
    </xf>
    <xf numFmtId="0" fontId="4" fillId="2" borderId="1" xfId="0" applyFont="1" applyBorder="1" applyAlignment="1" applyProtection="1">
      <alignment vertical="top" wrapText="1"/>
      <protection hidden="1"/>
    </xf>
    <xf numFmtId="0" fontId="5" fillId="2" borderId="1" xfId="0" applyFont="1" applyBorder="1" applyAlignment="1" applyProtection="1">
      <alignment vertical="top" wrapText="1"/>
      <protection hidden="1"/>
    </xf>
    <xf numFmtId="0" fontId="4" fillId="2" borderId="1" xfId="0" applyFont="1" applyBorder="1" applyAlignment="1" applyProtection="1">
      <alignment horizontal="right" vertical="top" wrapText="1"/>
      <protection hidden="1"/>
    </xf>
    <xf numFmtId="0" fontId="5" fillId="2" borderId="1" xfId="0" applyFont="1" applyBorder="1" applyAlignment="1" applyProtection="1">
      <alignment horizontal="right" vertical="top" wrapText="1"/>
      <protection hidden="1"/>
    </xf>
    <xf numFmtId="0" fontId="4" fillId="2" borderId="7" xfId="6" applyFont="1" applyBorder="1" applyProtection="1">
      <alignment vertical="top"/>
      <protection hidden="1"/>
    </xf>
    <xf numFmtId="3" fontId="0" fillId="0" borderId="7" xfId="0" applyNumberFormat="1" applyFill="1" applyBorder="1" applyAlignment="1" applyProtection="1">
      <alignment vertical="top" wrapText="1"/>
      <protection hidden="1"/>
    </xf>
    <xf numFmtId="0" fontId="5" fillId="2" borderId="7" xfId="0" applyFont="1" applyBorder="1" applyAlignment="1" applyProtection="1">
      <alignment vertical="top" wrapText="1"/>
      <protection hidden="1"/>
    </xf>
    <xf numFmtId="3" fontId="5" fillId="0" borderId="7" xfId="0" applyNumberFormat="1" applyFont="1" applyFill="1" applyBorder="1" applyAlignment="1" applyProtection="1">
      <alignment vertical="top" wrapText="1"/>
      <protection hidden="1"/>
    </xf>
    <xf numFmtId="0" fontId="4" fillId="2" borderId="6" xfId="6" applyFont="1" applyBorder="1" applyAlignment="1" applyProtection="1">
      <alignment vertical="top" wrapText="1"/>
      <protection hidden="1"/>
    </xf>
    <xf numFmtId="3" fontId="5" fillId="4" borderId="6" xfId="6" applyNumberFormat="1" applyFont="1" applyFill="1" applyBorder="1" applyAlignment="1" applyProtection="1">
      <alignment vertical="top" wrapText="1"/>
      <protection hidden="1"/>
    </xf>
    <xf numFmtId="3" fontId="0" fillId="3" borderId="6" xfId="0" applyNumberFormat="1" applyFill="1" applyBorder="1" applyAlignment="1" applyProtection="1">
      <alignment vertical="top" wrapText="1"/>
      <protection hidden="1"/>
    </xf>
    <xf numFmtId="3" fontId="0" fillId="5" borderId="6" xfId="0" applyNumberFormat="1" applyFill="1" applyBorder="1" applyAlignment="1" applyProtection="1">
      <alignment vertical="top" wrapText="1"/>
      <protection hidden="1"/>
    </xf>
    <xf numFmtId="3" fontId="0" fillId="0" borderId="6" xfId="0" applyNumberFormat="1" applyFill="1" applyBorder="1" applyAlignment="1" applyProtection="1">
      <alignment vertical="top" wrapText="1"/>
      <protection hidden="1"/>
    </xf>
    <xf numFmtId="3" fontId="5" fillId="4" borderId="6" xfId="0" applyNumberFormat="1" applyFont="1" applyFill="1" applyBorder="1" applyAlignment="1" applyProtection="1">
      <alignment vertical="top" wrapText="1"/>
      <protection hidden="1"/>
    </xf>
    <xf numFmtId="3" fontId="5" fillId="3" borderId="6" xfId="0" applyNumberFormat="1" applyFont="1" applyFill="1" applyBorder="1" applyAlignment="1" applyProtection="1">
      <alignment vertical="top" wrapText="1"/>
      <protection hidden="1"/>
    </xf>
    <xf numFmtId="3" fontId="5" fillId="5" borderId="6" xfId="0" applyNumberFormat="1" applyFont="1" applyFill="1" applyBorder="1" applyAlignment="1" applyProtection="1">
      <alignment vertical="top" wrapText="1"/>
      <protection hidden="1"/>
    </xf>
    <xf numFmtId="0" fontId="5" fillId="2" borderId="6" xfId="0" applyFont="1" applyBorder="1" applyAlignment="1" applyProtection="1">
      <alignment vertical="top" wrapText="1"/>
      <protection hidden="1"/>
    </xf>
    <xf numFmtId="3" fontId="5" fillId="0" borderId="6" xfId="0" applyNumberFormat="1" applyFont="1" applyFill="1" applyBorder="1" applyAlignment="1" applyProtection="1">
      <alignment vertical="top" wrapText="1"/>
      <protection hidden="1"/>
    </xf>
    <xf numFmtId="0" fontId="4" fillId="2" borderId="8" xfId="6" applyFont="1" applyBorder="1" applyAlignment="1" applyProtection="1">
      <alignment horizontal="center" vertical="top"/>
      <protection hidden="1"/>
    </xf>
    <xf numFmtId="0" fontId="4" fillId="2" borderId="8" xfId="0" applyFont="1" applyBorder="1" applyAlignment="1" applyProtection="1">
      <alignment horizontal="center" vertical="top" wrapText="1"/>
      <protection hidden="1"/>
    </xf>
    <xf numFmtId="0" fontId="5" fillId="0" borderId="1" xfId="0" applyFont="1" applyFill="1" applyBorder="1" applyAlignment="1" applyProtection="1">
      <alignment vertical="top" wrapText="1"/>
      <protection hidden="1"/>
    </xf>
    <xf numFmtId="0" fontId="5" fillId="2" borderId="0" xfId="0" applyFont="1" applyAlignment="1" applyProtection="1">
      <alignment vertical="top" wrapText="1"/>
      <protection hidden="1"/>
    </xf>
    <xf numFmtId="0" fontId="4" fillId="2" borderId="0" xfId="0" applyFont="1" applyAlignment="1" applyProtection="1">
      <alignment horizontal="right" vertical="top" wrapText="1"/>
      <protection hidden="1"/>
    </xf>
    <xf numFmtId="9" fontId="5" fillId="4" borderId="6" xfId="0" applyNumberFormat="1" applyFont="1" applyFill="1" applyBorder="1" applyAlignment="1" applyProtection="1">
      <alignment vertical="top" wrapText="1"/>
      <protection hidden="1"/>
    </xf>
    <xf numFmtId="9" fontId="5" fillId="3" borderId="6" xfId="0" applyNumberFormat="1" applyFont="1" applyFill="1" applyBorder="1" applyAlignment="1" applyProtection="1">
      <alignment vertical="top" wrapText="1"/>
      <protection hidden="1"/>
    </xf>
    <xf numFmtId="9" fontId="5" fillId="5" borderId="4" xfId="0" applyNumberFormat="1" applyFont="1" applyFill="1" applyBorder="1" applyAlignment="1" applyProtection="1">
      <alignment vertical="top" wrapText="1"/>
      <protection hidden="1"/>
    </xf>
    <xf numFmtId="3" fontId="4" fillId="4" borderId="0" xfId="0" applyNumberFormat="1" applyFont="1" applyFill="1" applyAlignment="1" applyProtection="1">
      <alignment horizontal="center" vertical="top" wrapText="1"/>
      <protection hidden="1"/>
    </xf>
    <xf numFmtId="0" fontId="5" fillId="2" borderId="0" xfId="0" applyFont="1" applyAlignment="1" applyProtection="1">
      <alignment horizontal="center" vertical="top" wrapText="1"/>
      <protection hidden="1"/>
    </xf>
    <xf numFmtId="3" fontId="4" fillId="5" borderId="0" xfId="0" applyNumberFormat="1" applyFont="1" applyFill="1" applyAlignment="1" applyProtection="1">
      <alignment horizontal="center" vertical="top" wrapText="1"/>
      <protection hidden="1"/>
    </xf>
    <xf numFmtId="0" fontId="4" fillId="2" borderId="1" xfId="0" applyFont="1" applyBorder="1" applyAlignment="1" applyProtection="1">
      <alignment horizontal="left" wrapText="1"/>
      <protection hidden="1"/>
    </xf>
    <xf numFmtId="49" fontId="4" fillId="2" borderId="6" xfId="0" applyNumberFormat="1" applyFont="1" applyBorder="1" applyAlignment="1" applyProtection="1">
      <alignment horizontal="justify" vertical="top" wrapText="1"/>
      <protection hidden="1"/>
    </xf>
    <xf numFmtId="0" fontId="5" fillId="2" borderId="0" xfId="0" applyFont="1" applyAlignment="1" applyProtection="1">
      <alignment horizontal="justify" vertical="top" wrapText="1"/>
      <protection hidden="1"/>
    </xf>
    <xf numFmtId="3" fontId="0" fillId="2" borderId="0" xfId="0" applyNumberFormat="1" applyProtection="1">
      <protection hidden="1"/>
    </xf>
    <xf numFmtId="3" fontId="6" fillId="2" borderId="1" xfId="1" applyNumberFormat="1" applyFill="1" applyBorder="1" applyAlignment="1" applyProtection="1">
      <alignment horizontal="center" vertical="top" wrapText="1"/>
      <protection hidden="1"/>
    </xf>
    <xf numFmtId="3" fontId="13" fillId="2" borderId="1" xfId="1" applyNumberFormat="1" applyFont="1" applyFill="1" applyBorder="1" applyAlignment="1" applyProtection="1">
      <alignment horizontal="left" vertical="top" wrapText="1"/>
      <protection hidden="1"/>
    </xf>
    <xf numFmtId="3" fontId="6" fillId="2" borderId="1" xfId="1" applyNumberFormat="1" applyFill="1" applyBorder="1" applyAlignment="1" applyProtection="1">
      <alignment horizontal="left" vertical="top" wrapText="1"/>
      <protection hidden="1"/>
    </xf>
    <xf numFmtId="3" fontId="6" fillId="2" borderId="1" xfId="1" applyNumberFormat="1" applyFill="1" applyBorder="1" applyAlignment="1" applyProtection="1">
      <alignment horizontal="right" vertical="top" wrapText="1"/>
      <protection hidden="1"/>
    </xf>
    <xf numFmtId="3" fontId="0" fillId="2" borderId="7" xfId="0" applyNumberFormat="1" applyBorder="1" applyAlignment="1" applyProtection="1">
      <alignment vertical="top"/>
      <protection hidden="1"/>
    </xf>
    <xf numFmtId="3" fontId="5" fillId="2" borderId="2" xfId="1" applyNumberFormat="1" applyFont="1" applyFill="1" applyBorder="1" applyAlignment="1" applyProtection="1">
      <alignment horizontal="right" vertical="top" wrapText="1"/>
      <protection hidden="1"/>
    </xf>
    <xf numFmtId="3" fontId="0" fillId="2" borderId="9" xfId="0" applyNumberFormat="1" applyBorder="1" applyAlignment="1" applyProtection="1">
      <alignment vertical="top"/>
      <protection hidden="1"/>
    </xf>
    <xf numFmtId="3" fontId="5" fillId="2" borderId="1" xfId="1" applyNumberFormat="1" applyFont="1" applyFill="1" applyBorder="1" applyAlignment="1" applyProtection="1">
      <alignment horizontal="right" vertical="top" wrapText="1"/>
      <protection hidden="1"/>
    </xf>
    <xf numFmtId="3" fontId="4" fillId="2" borderId="1" xfId="1" applyNumberFormat="1" applyFont="1" applyFill="1" applyBorder="1" applyAlignment="1" applyProtection="1">
      <alignment horizontal="left" vertical="top" wrapText="1"/>
      <protection hidden="1"/>
    </xf>
    <xf numFmtId="3" fontId="4" fillId="2" borderId="8" xfId="0" applyNumberFormat="1" applyFont="1" applyBorder="1" applyAlignment="1" applyProtection="1">
      <alignment horizontal="center" vertical="top"/>
      <protection hidden="1"/>
    </xf>
    <xf numFmtId="3" fontId="5" fillId="0" borderId="1" xfId="1" applyNumberFormat="1" applyFont="1" applyFill="1" applyBorder="1" applyAlignment="1" applyProtection="1">
      <alignment horizontal="right" vertical="top" wrapText="1"/>
      <protection hidden="1"/>
    </xf>
    <xf numFmtId="3" fontId="4" fillId="2" borderId="1" xfId="0" applyNumberFormat="1" applyFont="1" applyBorder="1" applyAlignment="1" applyProtection="1">
      <alignment horizontal="left" vertical="top"/>
      <protection hidden="1"/>
    </xf>
    <xf numFmtId="3" fontId="5" fillId="0" borderId="0" xfId="0" applyNumberFormat="1" applyFont="1" applyFill="1" applyAlignment="1" applyProtection="1">
      <alignment horizontal="center" vertical="top" wrapText="1"/>
      <protection hidden="1"/>
    </xf>
    <xf numFmtId="3" fontId="5" fillId="2" borderId="0" xfId="0" applyNumberFormat="1" applyFont="1" applyAlignment="1" applyProtection="1">
      <alignment horizontal="left" vertical="top" wrapText="1"/>
      <protection hidden="1"/>
    </xf>
    <xf numFmtId="3" fontId="5" fillId="2" borderId="0" xfId="0" applyNumberFormat="1" applyFont="1" applyAlignment="1" applyProtection="1">
      <alignment wrapText="1"/>
      <protection hidden="1"/>
    </xf>
    <xf numFmtId="3" fontId="0" fillId="2" borderId="7" xfId="0" applyNumberFormat="1" applyBorder="1" applyProtection="1">
      <protection hidden="1"/>
    </xf>
    <xf numFmtId="3" fontId="18" fillId="2" borderId="0" xfId="0" applyNumberFormat="1" applyFont="1" applyProtection="1">
      <protection hidden="1"/>
    </xf>
    <xf numFmtId="3" fontId="3" fillId="2" borderId="0" xfId="0" applyNumberFormat="1" applyFont="1" applyAlignment="1" applyProtection="1">
      <alignment vertical="top"/>
      <protection hidden="1"/>
    </xf>
    <xf numFmtId="3" fontId="6" fillId="2" borderId="0" xfId="1" applyNumberFormat="1" applyFill="1" applyBorder="1" applyAlignment="1" applyProtection="1">
      <alignment horizontal="center" vertical="top" wrapText="1"/>
      <protection hidden="1"/>
    </xf>
    <xf numFmtId="3" fontId="5" fillId="0" borderId="0" xfId="1" applyNumberFormat="1" applyFont="1" applyFill="1" applyBorder="1" applyAlignment="1" applyProtection="1">
      <alignment horizontal="center" vertical="top" wrapText="1"/>
      <protection hidden="1"/>
    </xf>
    <xf numFmtId="3" fontId="4" fillId="3" borderId="8" xfId="1" applyNumberFormat="1" applyFont="1" applyFill="1" applyBorder="1" applyAlignment="1" applyProtection="1">
      <alignment horizontal="center" vertical="top" wrapText="1"/>
      <protection hidden="1"/>
    </xf>
    <xf numFmtId="3" fontId="4" fillId="0" borderId="6" xfId="1" applyNumberFormat="1" applyFont="1" applyFill="1" applyBorder="1" applyAlignment="1" applyProtection="1">
      <alignment horizontal="center" vertical="top" wrapText="1"/>
      <protection hidden="1"/>
    </xf>
    <xf numFmtId="3" fontId="4" fillId="0" borderId="7" xfId="1" applyNumberFormat="1" applyFont="1" applyFill="1" applyBorder="1" applyAlignment="1" applyProtection="1">
      <alignment horizontal="center" vertical="top" wrapText="1"/>
      <protection hidden="1"/>
    </xf>
    <xf numFmtId="3" fontId="5" fillId="3" borderId="7" xfId="1" applyNumberFormat="1" applyFont="1" applyFill="1" applyBorder="1" applyAlignment="1" applyProtection="1">
      <alignment horizontal="center" vertical="top" wrapText="1"/>
      <protection hidden="1"/>
    </xf>
    <xf numFmtId="3" fontId="5" fillId="0" borderId="6" xfId="1" applyNumberFormat="1" applyFont="1" applyFill="1" applyBorder="1" applyAlignment="1" applyProtection="1">
      <alignment horizontal="center" vertical="top" wrapText="1"/>
      <protection hidden="1"/>
    </xf>
    <xf numFmtId="3" fontId="5" fillId="0" borderId="7" xfId="1" applyNumberFormat="1" applyFont="1" applyFill="1" applyBorder="1" applyAlignment="1" applyProtection="1">
      <alignment horizontal="center" vertical="top" wrapText="1"/>
      <protection hidden="1"/>
    </xf>
    <xf numFmtId="3" fontId="5" fillId="2" borderId="0" xfId="1" applyNumberFormat="1" applyFont="1" applyFill="1" applyBorder="1" applyAlignment="1" applyProtection="1">
      <alignment horizontal="center" vertical="top" wrapText="1"/>
      <protection hidden="1"/>
    </xf>
    <xf numFmtId="3" fontId="5" fillId="0" borderId="10" xfId="1" applyNumberFormat="1" applyFont="1" applyFill="1" applyBorder="1" applyAlignment="1" applyProtection="1">
      <alignment horizontal="center" vertical="top" wrapText="1"/>
      <protection hidden="1"/>
    </xf>
    <xf numFmtId="3" fontId="5" fillId="2" borderId="10" xfId="1" applyNumberFormat="1" applyFont="1" applyFill="1" applyBorder="1" applyAlignment="1" applyProtection="1">
      <alignment horizontal="center" vertical="top" wrapText="1"/>
      <protection hidden="1"/>
    </xf>
    <xf numFmtId="3" fontId="4" fillId="0" borderId="8" xfId="1" applyNumberFormat="1" applyFont="1" applyFill="1" applyBorder="1" applyAlignment="1" applyProtection="1">
      <alignment horizontal="center" vertical="top" wrapText="1"/>
      <protection hidden="1"/>
    </xf>
    <xf numFmtId="3" fontId="4" fillId="2" borderId="8" xfId="1" applyNumberFormat="1" applyFont="1" applyFill="1" applyBorder="1" applyAlignment="1" applyProtection="1">
      <alignment horizontal="center" vertical="top" wrapText="1"/>
      <protection hidden="1"/>
    </xf>
    <xf numFmtId="3" fontId="0" fillId="2" borderId="6" xfId="0" applyNumberFormat="1" applyBorder="1" applyAlignment="1" applyProtection="1">
      <alignment vertical="top"/>
      <protection hidden="1"/>
    </xf>
    <xf numFmtId="3" fontId="0" fillId="2" borderId="1" xfId="0" applyNumberFormat="1" applyBorder="1" applyProtection="1">
      <protection hidden="1"/>
    </xf>
    <xf numFmtId="3" fontId="4" fillId="3" borderId="9" xfId="1" applyNumberFormat="1" applyFont="1" applyFill="1" applyBorder="1" applyAlignment="1" applyProtection="1">
      <alignment horizontal="center" vertical="top" wrapText="1"/>
      <protection hidden="1"/>
    </xf>
    <xf numFmtId="3" fontId="4" fillId="3" borderId="6" xfId="1" applyNumberFormat="1" applyFont="1" applyFill="1" applyBorder="1" applyAlignment="1" applyProtection="1">
      <alignment horizontal="center" vertical="top" wrapText="1"/>
      <protection hidden="1"/>
    </xf>
    <xf numFmtId="3" fontId="4" fillId="3" borderId="7" xfId="1" applyNumberFormat="1" applyFont="1" applyFill="1" applyBorder="1" applyAlignment="1" applyProtection="1">
      <alignment horizontal="center" vertical="top" wrapText="1"/>
      <protection hidden="1"/>
    </xf>
    <xf numFmtId="9" fontId="5" fillId="6" borderId="3" xfId="1" applyNumberFormat="1" applyFont="1" applyFill="1" applyBorder="1" applyAlignment="1" applyProtection="1">
      <alignment horizontal="center" vertical="top" wrapText="1"/>
      <protection locked="0" hidden="1"/>
    </xf>
    <xf numFmtId="9" fontId="5" fillId="6" borderId="11" xfId="1" applyNumberFormat="1" applyFont="1" applyFill="1" applyBorder="1" applyAlignment="1" applyProtection="1">
      <alignment horizontal="center" vertical="top" wrapText="1"/>
      <protection locked="0" hidden="1"/>
    </xf>
    <xf numFmtId="9" fontId="5" fillId="6" borderId="6" xfId="1" applyNumberFormat="1" applyFont="1" applyFill="1" applyBorder="1" applyAlignment="1" applyProtection="1">
      <alignment horizontal="center" vertical="top" wrapText="1"/>
      <protection locked="0" hidden="1"/>
    </xf>
    <xf numFmtId="9" fontId="5" fillId="6" borderId="7" xfId="1" applyNumberFormat="1" applyFont="1" applyFill="1" applyBorder="1" applyAlignment="1" applyProtection="1">
      <alignment horizontal="center" vertical="top" wrapText="1"/>
      <protection locked="0" hidden="1"/>
    </xf>
    <xf numFmtId="9" fontId="5" fillId="6" borderId="4" xfId="1" applyNumberFormat="1" applyFont="1" applyFill="1" applyBorder="1" applyAlignment="1" applyProtection="1">
      <alignment horizontal="center" vertical="top" wrapText="1"/>
      <protection locked="0" hidden="1"/>
    </xf>
    <xf numFmtId="9" fontId="5" fillId="6" borderId="9" xfId="1" applyNumberFormat="1" applyFont="1" applyFill="1" applyBorder="1" applyAlignment="1" applyProtection="1">
      <alignment horizontal="center" vertical="top" wrapText="1"/>
      <protection locked="0" hidden="1"/>
    </xf>
    <xf numFmtId="3" fontId="4" fillId="2" borderId="1" xfId="6" applyNumberFormat="1" applyFont="1" applyBorder="1" applyAlignment="1" applyProtection="1">
      <protection hidden="1"/>
    </xf>
    <xf numFmtId="3" fontId="4" fillId="2" borderId="1" xfId="6" applyNumberFormat="1" applyFont="1" applyBorder="1" applyAlignment="1" applyProtection="1">
      <alignment horizontal="right"/>
      <protection hidden="1"/>
    </xf>
    <xf numFmtId="3" fontId="4" fillId="2" borderId="0" xfId="6" applyNumberFormat="1" applyFont="1" applyAlignment="1" applyProtection="1">
      <protection hidden="1"/>
    </xf>
    <xf numFmtId="3" fontId="4" fillId="2" borderId="1" xfId="6" applyNumberFormat="1" applyFont="1" applyBorder="1" applyProtection="1">
      <alignment vertical="top"/>
      <protection hidden="1"/>
    </xf>
    <xf numFmtId="3" fontId="4" fillId="0" borderId="6" xfId="6" applyNumberFormat="1" applyFont="1" applyFill="1" applyBorder="1" applyAlignment="1" applyProtection="1">
      <alignment horizontal="left" vertical="top" wrapText="1"/>
      <protection hidden="1"/>
    </xf>
    <xf numFmtId="0" fontId="5" fillId="2" borderId="12" xfId="6" applyFont="1" applyBorder="1" applyAlignment="1" applyProtection="1">
      <alignment horizontal="center" vertical="top"/>
      <protection hidden="1"/>
    </xf>
    <xf numFmtId="0" fontId="4" fillId="2" borderId="5" xfId="6" applyFont="1" applyBorder="1" applyAlignment="1" applyProtection="1">
      <alignment horizontal="center" vertical="top"/>
      <protection hidden="1"/>
    </xf>
    <xf numFmtId="3" fontId="5" fillId="2" borderId="1" xfId="6" applyNumberFormat="1" applyFont="1" applyBorder="1" applyAlignment="1" applyProtection="1">
      <alignment horizontal="right"/>
      <protection hidden="1"/>
    </xf>
    <xf numFmtId="3" fontId="4" fillId="2" borderId="1" xfId="6" applyNumberFormat="1" applyFont="1" applyBorder="1" applyAlignment="1" applyProtection="1">
      <alignment horizontal="left"/>
      <protection hidden="1"/>
    </xf>
    <xf numFmtId="0" fontId="5" fillId="0" borderId="0" xfId="6" applyFont="1" applyFill="1" applyAlignment="1" applyProtection="1">
      <alignment horizontal="right" wrapText="1"/>
      <protection hidden="1"/>
    </xf>
    <xf numFmtId="0" fontId="5" fillId="0" borderId="0" xfId="6" applyFont="1" applyFill="1" applyProtection="1">
      <alignment vertical="top"/>
      <protection hidden="1"/>
    </xf>
    <xf numFmtId="0" fontId="3" fillId="0" borderId="0" xfId="6" applyFill="1" applyProtection="1">
      <alignment vertical="top"/>
      <protection hidden="1"/>
    </xf>
    <xf numFmtId="0" fontId="10" fillId="0" borderId="0" xfId="6" applyFont="1" applyFill="1" applyAlignment="1" applyProtection="1">
      <alignment wrapText="1"/>
      <protection hidden="1"/>
    </xf>
    <xf numFmtId="0" fontId="5" fillId="0" borderId="0" xfId="6" applyFont="1" applyFill="1" applyAlignment="1" applyProtection="1">
      <alignment wrapText="1"/>
      <protection hidden="1"/>
    </xf>
    <xf numFmtId="3" fontId="4" fillId="0" borderId="5" xfId="6" applyNumberFormat="1" applyFont="1" applyFill="1" applyBorder="1" applyAlignment="1" applyProtection="1">
      <alignment horizontal="center" vertical="top"/>
      <protection hidden="1"/>
    </xf>
    <xf numFmtId="0" fontId="4" fillId="0" borderId="11" xfId="6" applyFont="1" applyFill="1" applyBorder="1" applyAlignment="1" applyProtection="1">
      <alignment horizontal="center" vertical="top" wrapText="1"/>
      <protection hidden="1"/>
    </xf>
    <xf numFmtId="3" fontId="4" fillId="0" borderId="6" xfId="6" applyNumberFormat="1" applyFont="1" applyFill="1" applyBorder="1" applyAlignment="1" applyProtection="1">
      <alignment horizontal="right" vertical="top"/>
      <protection hidden="1"/>
    </xf>
    <xf numFmtId="9" fontId="5" fillId="0" borderId="13" xfId="6" applyNumberFormat="1" applyFont="1" applyFill="1" applyBorder="1" applyAlignment="1" applyProtection="1">
      <alignment horizontal="center" wrapText="1"/>
      <protection hidden="1"/>
    </xf>
    <xf numFmtId="9" fontId="5" fillId="0" borderId="0" xfId="6" applyNumberFormat="1" applyFont="1" applyFill="1" applyAlignment="1" applyProtection="1">
      <alignment horizontal="center" wrapText="1"/>
      <protection hidden="1"/>
    </xf>
    <xf numFmtId="9" fontId="5" fillId="0" borderId="7" xfId="6" applyNumberFormat="1" applyFont="1" applyFill="1" applyBorder="1" applyAlignment="1" applyProtection="1">
      <alignment horizontal="center" wrapText="1"/>
      <protection hidden="1"/>
    </xf>
    <xf numFmtId="3" fontId="4" fillId="0" borderId="4" xfId="6" applyNumberFormat="1" applyFont="1" applyFill="1" applyBorder="1" applyAlignment="1" applyProtection="1">
      <alignment horizontal="right" vertical="top"/>
      <protection hidden="1"/>
    </xf>
    <xf numFmtId="2" fontId="5" fillId="0" borderId="3" xfId="6" applyNumberFormat="1" applyFont="1" applyFill="1" applyBorder="1" applyAlignment="1" applyProtection="1">
      <alignment horizontal="center" wrapText="1"/>
      <protection hidden="1"/>
    </xf>
    <xf numFmtId="3" fontId="4" fillId="0" borderId="5" xfId="6" applyNumberFormat="1" applyFont="1" applyFill="1" applyBorder="1" applyAlignment="1" applyProtection="1">
      <alignment horizontal="right" vertical="top"/>
      <protection hidden="1"/>
    </xf>
    <xf numFmtId="0" fontId="4" fillId="0" borderId="1" xfId="6" applyFont="1" applyFill="1" applyBorder="1" applyAlignment="1" applyProtection="1">
      <protection hidden="1"/>
    </xf>
    <xf numFmtId="3" fontId="5" fillId="0" borderId="5" xfId="6" applyNumberFormat="1" applyFont="1" applyFill="1" applyBorder="1" applyAlignment="1" applyProtection="1">
      <alignment horizontal="right" vertical="top"/>
      <protection hidden="1"/>
    </xf>
    <xf numFmtId="3" fontId="5" fillId="0" borderId="8" xfId="6" applyNumberFormat="1" applyFont="1" applyFill="1" applyBorder="1" applyAlignment="1" applyProtection="1">
      <alignment horizontal="right" vertical="top"/>
      <protection hidden="1"/>
    </xf>
    <xf numFmtId="0" fontId="4" fillId="0" borderId="3" xfId="6" applyFont="1" applyFill="1" applyBorder="1" applyAlignment="1" applyProtection="1">
      <alignment horizontal="right" vertical="top"/>
      <protection hidden="1"/>
    </xf>
    <xf numFmtId="3" fontId="5" fillId="0" borderId="3" xfId="6" applyNumberFormat="1" applyFont="1" applyFill="1" applyBorder="1" applyAlignment="1" applyProtection="1">
      <alignment horizontal="right" vertical="top" wrapText="1"/>
      <protection hidden="1"/>
    </xf>
    <xf numFmtId="0" fontId="4" fillId="0" borderId="6" xfId="6" applyFont="1" applyFill="1" applyBorder="1" applyAlignment="1" applyProtection="1">
      <alignment horizontal="right" vertical="top"/>
      <protection hidden="1"/>
    </xf>
    <xf numFmtId="3" fontId="5" fillId="0" borderId="6" xfId="6" applyNumberFormat="1" applyFont="1" applyFill="1" applyBorder="1" applyAlignment="1" applyProtection="1">
      <alignment horizontal="right" vertical="top" wrapText="1"/>
      <protection hidden="1"/>
    </xf>
    <xf numFmtId="164" fontId="5" fillId="0" borderId="6" xfId="6" applyNumberFormat="1" applyFont="1" applyFill="1" applyBorder="1" applyAlignment="1" applyProtection="1">
      <alignment horizontal="right" vertical="top" wrapText="1"/>
      <protection hidden="1"/>
    </xf>
    <xf numFmtId="9" fontId="4" fillId="0" borderId="0" xfId="6" applyNumberFormat="1" applyFont="1" applyFill="1" applyAlignment="1" applyProtection="1">
      <alignment horizontal="center" wrapText="1"/>
      <protection hidden="1"/>
    </xf>
    <xf numFmtId="0" fontId="4" fillId="0" borderId="4" xfId="6" applyFont="1" applyFill="1" applyBorder="1" applyAlignment="1" applyProtection="1">
      <alignment horizontal="right" vertical="top"/>
      <protection hidden="1"/>
    </xf>
    <xf numFmtId="164" fontId="5" fillId="0" borderId="4" xfId="6" applyNumberFormat="1" applyFont="1" applyFill="1" applyBorder="1" applyAlignment="1" applyProtection="1">
      <alignment horizontal="right" vertical="top" wrapText="1"/>
      <protection hidden="1"/>
    </xf>
    <xf numFmtId="10" fontId="5" fillId="0" borderId="0" xfId="6" applyNumberFormat="1" applyFont="1" applyFill="1" applyAlignment="1" applyProtection="1">
      <alignment wrapText="1"/>
      <protection hidden="1"/>
    </xf>
    <xf numFmtId="0" fontId="7" fillId="0" borderId="0" xfId="6" applyFont="1" applyFill="1" applyProtection="1">
      <alignment vertical="top"/>
      <protection hidden="1"/>
    </xf>
    <xf numFmtId="0" fontId="4" fillId="0" borderId="14" xfId="6" applyFont="1" applyFill="1" applyBorder="1" applyAlignment="1" applyProtection="1">
      <protection hidden="1"/>
    </xf>
    <xf numFmtId="0" fontId="4" fillId="0" borderId="11" xfId="6" applyFont="1" applyFill="1" applyBorder="1" applyAlignment="1" applyProtection="1">
      <protection hidden="1"/>
    </xf>
    <xf numFmtId="3" fontId="3" fillId="0" borderId="11" xfId="6" applyNumberFormat="1" applyFill="1" applyBorder="1" applyProtection="1">
      <alignment vertical="top"/>
      <protection hidden="1"/>
    </xf>
    <xf numFmtId="3" fontId="4" fillId="0" borderId="1" xfId="6" applyNumberFormat="1" applyFont="1" applyFill="1" applyBorder="1" applyAlignment="1" applyProtection="1">
      <protection hidden="1"/>
    </xf>
    <xf numFmtId="0" fontId="4" fillId="0" borderId="7" xfId="6" applyFont="1" applyFill="1" applyBorder="1" applyAlignment="1" applyProtection="1">
      <protection hidden="1"/>
    </xf>
    <xf numFmtId="3" fontId="3" fillId="0" borderId="7" xfId="6" applyNumberFormat="1" applyFill="1" applyBorder="1" applyProtection="1">
      <alignment vertical="top"/>
      <protection hidden="1"/>
    </xf>
    <xf numFmtId="3" fontId="5" fillId="0" borderId="0" xfId="6" applyNumberFormat="1" applyFont="1" applyFill="1" applyProtection="1">
      <alignment vertical="top"/>
      <protection hidden="1"/>
    </xf>
    <xf numFmtId="0" fontId="3" fillId="0" borderId="7" xfId="6" applyFill="1" applyBorder="1" applyAlignment="1" applyProtection="1">
      <protection hidden="1"/>
    </xf>
    <xf numFmtId="3" fontId="4" fillId="0" borderId="2" xfId="6" applyNumberFormat="1" applyFont="1" applyFill="1" applyBorder="1" applyAlignment="1" applyProtection="1">
      <protection hidden="1"/>
    </xf>
    <xf numFmtId="0" fontId="3" fillId="0" borderId="9" xfId="6" applyFill="1" applyBorder="1" applyAlignment="1" applyProtection="1">
      <protection hidden="1"/>
    </xf>
    <xf numFmtId="0" fontId="5" fillId="0" borderId="0" xfId="6" applyFont="1" applyFill="1" applyAlignment="1" applyProtection="1">
      <alignment horizontal="left" vertical="top" wrapText="1"/>
      <protection hidden="1"/>
    </xf>
    <xf numFmtId="0" fontId="5" fillId="0" borderId="0" xfId="6" applyFont="1" applyFill="1" applyAlignment="1" applyProtection="1">
      <alignment horizontal="left"/>
      <protection hidden="1"/>
    </xf>
    <xf numFmtId="164" fontId="5" fillId="0" borderId="0" xfId="6" applyNumberFormat="1" applyFont="1" applyFill="1" applyProtection="1">
      <alignment vertical="top"/>
      <protection hidden="1"/>
    </xf>
    <xf numFmtId="0" fontId="7" fillId="0" borderId="0" xfId="6" applyFont="1" applyFill="1" applyAlignment="1" applyProtection="1">
      <alignment horizontal="left" vertical="top" wrapText="1"/>
      <protection hidden="1"/>
    </xf>
    <xf numFmtId="0" fontId="5" fillId="0" borderId="3" xfId="6" applyFont="1" applyFill="1" applyBorder="1" applyProtection="1">
      <alignment vertical="top"/>
      <protection hidden="1"/>
    </xf>
    <xf numFmtId="0" fontId="4" fillId="0" borderId="5" xfId="6" applyFont="1" applyFill="1" applyBorder="1" applyAlignment="1" applyProtection="1">
      <alignment horizontal="center" vertical="top" wrapText="1"/>
      <protection hidden="1"/>
    </xf>
    <xf numFmtId="3" fontId="4" fillId="0" borderId="3" xfId="6" applyNumberFormat="1" applyFont="1" applyFill="1" applyBorder="1" applyAlignment="1" applyProtection="1">
      <protection hidden="1"/>
    </xf>
    <xf numFmtId="3" fontId="5" fillId="0" borderId="6" xfId="6" applyNumberFormat="1" applyFont="1" applyFill="1" applyBorder="1" applyProtection="1">
      <alignment vertical="top"/>
      <protection hidden="1"/>
    </xf>
    <xf numFmtId="3" fontId="4" fillId="0" borderId="6" xfId="6" applyNumberFormat="1" applyFont="1" applyFill="1" applyBorder="1" applyProtection="1">
      <alignment vertical="top"/>
      <protection hidden="1"/>
    </xf>
    <xf numFmtId="0" fontId="4" fillId="0" borderId="6" xfId="6" applyFont="1" applyFill="1" applyBorder="1" applyAlignment="1" applyProtection="1">
      <alignment horizontal="left" vertical="top"/>
      <protection hidden="1"/>
    </xf>
    <xf numFmtId="0" fontId="5" fillId="0" borderId="6" xfId="6" applyFont="1" applyFill="1" applyBorder="1" applyProtection="1">
      <alignment vertical="top"/>
      <protection hidden="1"/>
    </xf>
    <xf numFmtId="164" fontId="5" fillId="0" borderId="7" xfId="6" applyNumberFormat="1" applyFont="1" applyFill="1" applyBorder="1" applyAlignment="1" applyProtection="1">
      <alignment horizontal="right" vertical="top" wrapText="1"/>
      <protection hidden="1"/>
    </xf>
    <xf numFmtId="0" fontId="4" fillId="0" borderId="6" xfId="6" applyFont="1" applyFill="1" applyBorder="1" applyAlignment="1" applyProtection="1">
      <alignment horizontal="center" vertical="top"/>
      <protection hidden="1"/>
    </xf>
    <xf numFmtId="3" fontId="3" fillId="0" borderId="6" xfId="6" applyNumberFormat="1" applyFill="1" applyBorder="1" applyProtection="1">
      <alignment vertical="top"/>
      <protection hidden="1"/>
    </xf>
    <xf numFmtId="3" fontId="7" fillId="0" borderId="6" xfId="6" applyNumberFormat="1" applyFont="1" applyFill="1" applyBorder="1" applyProtection="1">
      <alignment vertical="top"/>
      <protection hidden="1"/>
    </xf>
    <xf numFmtId="164" fontId="5" fillId="0" borderId="6" xfId="6" applyNumberFormat="1" applyFont="1" applyFill="1" applyBorder="1" applyProtection="1">
      <alignment vertical="top"/>
      <protection hidden="1"/>
    </xf>
    <xf numFmtId="164" fontId="5" fillId="0" borderId="7" xfId="6" applyNumberFormat="1" applyFont="1" applyFill="1" applyBorder="1" applyProtection="1">
      <alignment vertical="top"/>
      <protection hidden="1"/>
    </xf>
    <xf numFmtId="164" fontId="4" fillId="0" borderId="4" xfId="6" applyNumberFormat="1" applyFont="1" applyFill="1" applyBorder="1" applyProtection="1">
      <alignment vertical="top"/>
      <protection hidden="1"/>
    </xf>
    <xf numFmtId="0" fontId="4" fillId="0" borderId="0" xfId="6" applyFont="1" applyFill="1" applyAlignment="1" applyProtection="1">
      <alignment horizontal="left" vertical="top"/>
      <protection hidden="1"/>
    </xf>
    <xf numFmtId="3" fontId="5" fillId="0" borderId="0" xfId="6" applyNumberFormat="1" applyFont="1" applyFill="1" applyAlignment="1" applyProtection="1">
      <alignment horizontal="right"/>
      <protection hidden="1"/>
    </xf>
    <xf numFmtId="3" fontId="5" fillId="0" borderId="0" xfId="6" applyNumberFormat="1" applyFont="1" applyFill="1" applyAlignment="1" applyProtection="1">
      <protection hidden="1"/>
    </xf>
    <xf numFmtId="9" fontId="4" fillId="3" borderId="0" xfId="6" applyNumberFormat="1" applyFont="1" applyFill="1" applyAlignment="1" applyProtection="1">
      <alignment horizontal="center" wrapText="1"/>
      <protection hidden="1"/>
    </xf>
    <xf numFmtId="3" fontId="5" fillId="0" borderId="7" xfId="6" applyNumberFormat="1" applyFont="1" applyFill="1" applyBorder="1" applyProtection="1">
      <alignment vertical="top"/>
      <protection hidden="1"/>
    </xf>
    <xf numFmtId="3" fontId="7" fillId="0" borderId="9" xfId="6" applyNumberFormat="1" applyFont="1" applyFill="1" applyBorder="1" applyProtection="1">
      <alignment vertical="top"/>
      <protection hidden="1"/>
    </xf>
    <xf numFmtId="3" fontId="4" fillId="0" borderId="1" xfId="6" applyNumberFormat="1" applyFont="1" applyFill="1" applyBorder="1" applyAlignment="1" applyProtection="1">
      <alignment horizontal="right" vertical="top"/>
      <protection hidden="1"/>
    </xf>
    <xf numFmtId="9" fontId="5" fillId="0" borderId="1" xfId="6" applyNumberFormat="1" applyFont="1" applyFill="1" applyBorder="1" applyAlignment="1" applyProtection="1">
      <alignment horizontal="center" wrapText="1"/>
      <protection hidden="1"/>
    </xf>
    <xf numFmtId="3" fontId="4" fillId="0" borderId="6" xfId="6" applyNumberFormat="1" applyFont="1" applyFill="1" applyBorder="1" applyAlignment="1" applyProtection="1">
      <alignment horizontal="left" vertical="top"/>
      <protection hidden="1"/>
    </xf>
    <xf numFmtId="0" fontId="5" fillId="2" borderId="6" xfId="6" applyFont="1" applyBorder="1" applyAlignment="1" applyProtection="1">
      <alignment horizontal="right" vertical="top"/>
      <protection hidden="1"/>
    </xf>
    <xf numFmtId="3" fontId="4" fillId="3" borderId="6" xfId="6" applyNumberFormat="1" applyFont="1" applyFill="1" applyBorder="1" applyProtection="1">
      <alignment vertical="top"/>
      <protection hidden="1"/>
    </xf>
    <xf numFmtId="3" fontId="3" fillId="3" borderId="6" xfId="6" applyNumberFormat="1" applyFill="1" applyBorder="1" applyProtection="1">
      <alignment vertical="top"/>
      <protection hidden="1"/>
    </xf>
    <xf numFmtId="0" fontId="7" fillId="2" borderId="1" xfId="6" applyFont="1" applyBorder="1" applyAlignment="1" applyProtection="1">
      <protection hidden="1"/>
    </xf>
    <xf numFmtId="0" fontId="5" fillId="2" borderId="7" xfId="6" applyFont="1" applyBorder="1" applyAlignment="1" applyProtection="1">
      <alignment wrapText="1"/>
      <protection hidden="1"/>
    </xf>
    <xf numFmtId="9" fontId="5" fillId="6" borderId="0" xfId="1" applyNumberFormat="1" applyFont="1" applyFill="1" applyBorder="1" applyAlignment="1" applyProtection="1">
      <alignment horizontal="center" vertical="top" wrapText="1"/>
      <protection locked="0" hidden="1"/>
    </xf>
    <xf numFmtId="3" fontId="5" fillId="6" borderId="0" xfId="1" applyNumberFormat="1" applyFont="1" applyFill="1" applyBorder="1" applyAlignment="1" applyProtection="1">
      <alignment horizontal="center" vertical="top" wrapText="1"/>
      <protection locked="0" hidden="1"/>
    </xf>
    <xf numFmtId="3" fontId="5" fillId="3" borderId="0" xfId="1" applyNumberFormat="1" applyFont="1" applyFill="1" applyBorder="1" applyAlignment="1" applyProtection="1">
      <alignment horizontal="center" vertical="top" wrapText="1"/>
      <protection hidden="1"/>
    </xf>
    <xf numFmtId="164" fontId="5" fillId="3" borderId="0" xfId="1" applyNumberFormat="1" applyFont="1" applyFill="1" applyBorder="1" applyAlignment="1" applyProtection="1">
      <alignment horizontal="center" vertical="top" wrapText="1"/>
      <protection hidden="1"/>
    </xf>
    <xf numFmtId="3" fontId="7" fillId="0" borderId="7" xfId="6" applyNumberFormat="1" applyFont="1" applyFill="1" applyBorder="1" applyProtection="1">
      <alignment vertical="top"/>
      <protection hidden="1"/>
    </xf>
    <xf numFmtId="3" fontId="0" fillId="3" borderId="0" xfId="0" applyNumberFormat="1" applyFill="1" applyAlignment="1" applyProtection="1">
      <alignment vertical="top" wrapText="1"/>
      <protection hidden="1"/>
    </xf>
    <xf numFmtId="3" fontId="4" fillId="0" borderId="0" xfId="0" applyNumberFormat="1" applyFont="1" applyFill="1" applyAlignment="1" applyProtection="1">
      <alignment horizontal="right" vertical="top" wrapText="1"/>
      <protection hidden="1"/>
    </xf>
    <xf numFmtId="0" fontId="6" fillId="2" borderId="0" xfId="1" applyFill="1" applyBorder="1" applyAlignment="1" applyProtection="1">
      <alignment horizontal="center" vertical="top" wrapText="1"/>
      <protection hidden="1"/>
    </xf>
    <xf numFmtId="0" fontId="4" fillId="2" borderId="12" xfId="6" applyFont="1" applyBorder="1" applyAlignment="1" applyProtection="1">
      <alignment horizontal="center" vertical="top"/>
      <protection hidden="1"/>
    </xf>
    <xf numFmtId="0" fontId="3" fillId="2" borderId="7" xfId="6" applyBorder="1" applyProtection="1">
      <alignment vertical="top"/>
      <protection hidden="1"/>
    </xf>
    <xf numFmtId="0" fontId="6" fillId="2" borderId="0" xfId="1" applyFill="1" applyAlignment="1" applyProtection="1">
      <alignment vertical="top" wrapText="1"/>
      <protection hidden="1"/>
    </xf>
    <xf numFmtId="0" fontId="6" fillId="2" borderId="0" xfId="1" applyFill="1" applyAlignment="1" applyProtection="1">
      <alignment horizontal="center" vertical="top" wrapText="1"/>
      <protection hidden="1"/>
    </xf>
    <xf numFmtId="0" fontId="4" fillId="2" borderId="0" xfId="6" applyFont="1" applyAlignment="1" applyProtection="1">
      <alignment horizontal="right" vertical="top"/>
      <protection hidden="1"/>
    </xf>
    <xf numFmtId="3" fontId="4" fillId="3" borderId="7" xfId="0" applyNumberFormat="1" applyFont="1" applyFill="1" applyBorder="1" applyAlignment="1" applyProtection="1">
      <alignment horizontal="center" vertical="top" wrapText="1"/>
      <protection hidden="1"/>
    </xf>
    <xf numFmtId="3" fontId="6" fillId="2" borderId="6" xfId="1" applyNumberFormat="1" applyFill="1" applyBorder="1" applyAlignment="1" applyProtection="1">
      <alignment horizontal="right" vertical="top" wrapText="1"/>
      <protection hidden="1"/>
    </xf>
    <xf numFmtId="3" fontId="6" fillId="2" borderId="6" xfId="1" applyNumberFormat="1" applyFill="1" applyBorder="1" applyAlignment="1" applyProtection="1">
      <alignment horizontal="left" vertical="top" wrapText="1"/>
      <protection hidden="1"/>
    </xf>
    <xf numFmtId="0" fontId="0" fillId="6" borderId="8" xfId="0" applyFill="1" applyBorder="1" applyAlignment="1" applyProtection="1">
      <alignment horizontal="justify" vertical="top" wrapText="1"/>
      <protection hidden="1"/>
    </xf>
    <xf numFmtId="0" fontId="0" fillId="6" borderId="9" xfId="0" applyFill="1" applyBorder="1" applyAlignment="1" applyProtection="1">
      <alignment horizontal="justify" vertical="top" wrapText="1"/>
      <protection hidden="1"/>
    </xf>
    <xf numFmtId="0" fontId="0" fillId="3" borderId="9" xfId="0" applyFill="1" applyBorder="1" applyAlignment="1" applyProtection="1">
      <alignment horizontal="justify" vertical="top" wrapText="1"/>
      <protection hidden="1"/>
    </xf>
    <xf numFmtId="3" fontId="6" fillId="2" borderId="1" xfId="1" applyNumberFormat="1" applyFill="1" applyBorder="1" applyAlignment="1" applyProtection="1">
      <alignment horizontal="right" vertical="center"/>
      <protection hidden="1"/>
    </xf>
    <xf numFmtId="0" fontId="6" fillId="2" borderId="1" xfId="1" applyFill="1" applyBorder="1" applyAlignment="1" applyProtection="1">
      <alignment horizontal="right" vertical="top"/>
      <protection hidden="1"/>
    </xf>
    <xf numFmtId="0" fontId="6" fillId="2" borderId="1" xfId="1" applyFill="1" applyBorder="1" applyAlignment="1" applyProtection="1">
      <alignment horizontal="right" vertical="top" wrapText="1"/>
      <protection hidden="1"/>
    </xf>
    <xf numFmtId="0" fontId="0" fillId="0" borderId="9" xfId="0" applyFill="1" applyBorder="1" applyAlignment="1" applyProtection="1">
      <alignment horizontal="left" vertical="top" wrapText="1"/>
      <protection hidden="1"/>
    </xf>
    <xf numFmtId="0" fontId="0" fillId="6" borderId="8" xfId="0" applyFill="1" applyBorder="1" applyAlignment="1" applyProtection="1">
      <alignment horizontal="left" vertical="top" wrapText="1"/>
      <protection hidden="1"/>
    </xf>
    <xf numFmtId="0" fontId="0" fillId="6" borderId="9" xfId="0" applyFill="1" applyBorder="1" applyAlignment="1" applyProtection="1">
      <alignment horizontal="left" vertical="top" wrapText="1"/>
      <protection hidden="1"/>
    </xf>
    <xf numFmtId="0" fontId="0" fillId="3" borderId="9" xfId="0" applyFill="1" applyBorder="1" applyAlignment="1" applyProtection="1">
      <alignment horizontal="left" vertical="top" wrapText="1"/>
      <protection hidden="1"/>
    </xf>
    <xf numFmtId="0" fontId="0" fillId="2" borderId="8" xfId="0" applyBorder="1" applyAlignment="1" applyProtection="1">
      <alignment horizontal="left" vertical="top" wrapText="1"/>
      <protection hidden="1"/>
    </xf>
    <xf numFmtId="0" fontId="0" fillId="3" borderId="7" xfId="0" applyFill="1" applyBorder="1" applyAlignment="1" applyProtection="1">
      <alignment horizontal="left" vertical="top" wrapText="1"/>
      <protection hidden="1"/>
    </xf>
    <xf numFmtId="0" fontId="0" fillId="3" borderId="11" xfId="0" applyFill="1" applyBorder="1" applyAlignment="1" applyProtection="1">
      <alignment horizontal="justify" vertical="top" wrapText="1"/>
      <protection hidden="1"/>
    </xf>
    <xf numFmtId="0" fontId="0" fillId="3" borderId="8" xfId="0" applyFill="1" applyBorder="1" applyAlignment="1" applyProtection="1">
      <alignment horizontal="justify" vertical="top" wrapText="1"/>
      <protection hidden="1"/>
    </xf>
    <xf numFmtId="0" fontId="0" fillId="2" borderId="9" xfId="0" applyBorder="1" applyAlignment="1" applyProtection="1">
      <alignment horizontal="justify" vertical="top" wrapText="1"/>
      <protection hidden="1"/>
    </xf>
    <xf numFmtId="0" fontId="0" fillId="3" borderId="8" xfId="0" applyFill="1" applyBorder="1" applyAlignment="1" applyProtection="1">
      <alignment horizontal="left" vertical="top" wrapText="1"/>
      <protection hidden="1"/>
    </xf>
    <xf numFmtId="3" fontId="13" fillId="2" borderId="3" xfId="1" applyNumberFormat="1" applyFont="1" applyFill="1" applyBorder="1" applyAlignment="1" applyProtection="1">
      <alignment horizontal="left" vertical="top" wrapText="1"/>
      <protection hidden="1"/>
    </xf>
    <xf numFmtId="3" fontId="13" fillId="2" borderId="6" xfId="1" applyNumberFormat="1" applyFont="1" applyFill="1" applyBorder="1" applyAlignment="1" applyProtection="1">
      <alignment horizontal="left" vertical="top" wrapText="1"/>
      <protection hidden="1"/>
    </xf>
    <xf numFmtId="49" fontId="6" fillId="2" borderId="6" xfId="1" applyNumberFormat="1" applyFill="1" applyBorder="1" applyAlignment="1" applyProtection="1">
      <alignment horizontal="right" vertical="top" wrapText="1"/>
      <protection hidden="1"/>
    </xf>
    <xf numFmtId="3" fontId="13" fillId="2" borderId="6" xfId="1" applyNumberFormat="1" applyFont="1" applyFill="1" applyBorder="1" applyAlignment="1" applyProtection="1">
      <alignment vertical="top" wrapText="1"/>
      <protection hidden="1"/>
    </xf>
    <xf numFmtId="0" fontId="13" fillId="2" borderId="6" xfId="1" applyNumberFormat="1" applyFont="1" applyFill="1" applyBorder="1" applyAlignment="1" applyProtection="1">
      <alignment horizontal="left" vertical="top" wrapText="1"/>
      <protection hidden="1"/>
    </xf>
    <xf numFmtId="49" fontId="6" fillId="2" borderId="4" xfId="1" applyNumberFormat="1" applyFill="1" applyBorder="1" applyAlignment="1" applyProtection="1">
      <alignment horizontal="right" vertical="top" wrapText="1"/>
      <protection hidden="1"/>
    </xf>
    <xf numFmtId="3" fontId="13" fillId="2" borderId="6" xfId="1" applyNumberFormat="1" applyFont="1" applyFill="1" applyBorder="1" applyAlignment="1" applyProtection="1">
      <alignment horizontal="right" vertical="top" wrapText="1"/>
      <protection hidden="1"/>
    </xf>
    <xf numFmtId="3" fontId="13" fillId="2" borderId="4" xfId="1" applyNumberFormat="1" applyFont="1" applyFill="1" applyBorder="1" applyAlignment="1" applyProtection="1">
      <alignment horizontal="right" vertical="top" wrapText="1"/>
      <protection hidden="1"/>
    </xf>
    <xf numFmtId="0" fontId="6" fillId="2" borderId="6" xfId="1" applyFill="1" applyBorder="1" applyAlignment="1" applyProtection="1">
      <alignment horizontal="right" vertical="top" wrapText="1"/>
      <protection hidden="1"/>
    </xf>
    <xf numFmtId="0" fontId="6" fillId="2" borderId="4" xfId="1" applyFill="1" applyBorder="1" applyAlignment="1" applyProtection="1">
      <alignment horizontal="right" vertical="top" wrapText="1"/>
      <protection hidden="1"/>
    </xf>
    <xf numFmtId="0" fontId="6" fillId="2" borderId="0" xfId="1" applyNumberFormat="1" applyFill="1" applyBorder="1" applyAlignment="1" applyProtection="1">
      <alignment horizontal="justify" vertical="top" wrapText="1"/>
      <protection hidden="1"/>
    </xf>
    <xf numFmtId="49" fontId="4" fillId="2" borderId="1" xfId="0" applyNumberFormat="1" applyFont="1" applyBorder="1" applyAlignment="1" applyProtection="1">
      <alignment horizontal="left" vertical="top" wrapText="1"/>
      <protection hidden="1"/>
    </xf>
    <xf numFmtId="0" fontId="0" fillId="2" borderId="10" xfId="0" applyBorder="1" applyAlignment="1" applyProtection="1">
      <alignment horizontal="justify" vertical="top" wrapText="1"/>
      <protection hidden="1"/>
    </xf>
    <xf numFmtId="0" fontId="5" fillId="2" borderId="0" xfId="1" applyNumberFormat="1" applyFont="1" applyFill="1" applyBorder="1" applyAlignment="1" applyProtection="1">
      <alignment horizontal="justify" vertical="top" wrapText="1"/>
      <protection hidden="1"/>
    </xf>
    <xf numFmtId="49" fontId="5" fillId="2" borderId="0" xfId="5" applyNumberFormat="1" applyFont="1" applyProtection="1">
      <alignment vertical="top"/>
      <protection hidden="1"/>
    </xf>
    <xf numFmtId="0" fontId="5" fillId="2" borderId="8" xfId="0" applyFont="1" applyBorder="1" applyAlignment="1" applyProtection="1">
      <alignment horizontal="left" vertical="top" wrapText="1"/>
      <protection hidden="1"/>
    </xf>
    <xf numFmtId="0" fontId="5" fillId="6" borderId="9" xfId="0" applyFont="1" applyFill="1" applyBorder="1" applyAlignment="1" applyProtection="1">
      <alignment horizontal="left" vertical="top" wrapText="1"/>
      <protection hidden="1"/>
    </xf>
    <xf numFmtId="0" fontId="5" fillId="2" borderId="0" xfId="5" applyFont="1" applyAlignment="1" applyProtection="1">
      <alignment horizontal="justify" vertical="top" wrapText="1"/>
      <protection hidden="1"/>
    </xf>
    <xf numFmtId="3" fontId="8" fillId="2" borderId="0" xfId="0" applyNumberFormat="1" applyFont="1" applyAlignment="1" applyProtection="1">
      <alignment horizontal="left"/>
      <protection hidden="1"/>
    </xf>
    <xf numFmtId="3" fontId="8" fillId="2" borderId="0" xfId="0" applyNumberFormat="1" applyFont="1" applyAlignment="1" applyProtection="1">
      <alignment horizontal="left" vertical="center" wrapText="1"/>
      <protection hidden="1"/>
    </xf>
    <xf numFmtId="3" fontId="20" fillId="2" borderId="6" xfId="1" applyNumberFormat="1" applyFont="1" applyFill="1" applyBorder="1" applyAlignment="1" applyProtection="1">
      <alignment horizontal="left" vertical="top" wrapText="1"/>
      <protection hidden="1"/>
    </xf>
    <xf numFmtId="9" fontId="0" fillId="6" borderId="0" xfId="0" applyNumberFormat="1" applyFill="1" applyAlignment="1" applyProtection="1">
      <alignment horizontal="center" vertical="top" wrapText="1"/>
      <protection locked="0" hidden="1"/>
    </xf>
    <xf numFmtId="9" fontId="0" fillId="3" borderId="0" xfId="0" applyNumberFormat="1" applyFill="1" applyAlignment="1" applyProtection="1">
      <alignment horizontal="center" vertical="top" wrapText="1"/>
      <protection hidden="1"/>
    </xf>
    <xf numFmtId="9" fontId="4" fillId="6" borderId="0" xfId="0" applyNumberFormat="1" applyFont="1" applyFill="1" applyAlignment="1" applyProtection="1">
      <alignment horizontal="center" vertical="top" wrapText="1"/>
      <protection locked="0" hidden="1"/>
    </xf>
    <xf numFmtId="9" fontId="5" fillId="0" borderId="3" xfId="6" applyNumberFormat="1" applyFont="1" applyFill="1" applyBorder="1" applyAlignment="1" applyProtection="1">
      <alignment horizontal="center" wrapText="1"/>
      <protection hidden="1"/>
    </xf>
    <xf numFmtId="9" fontId="5" fillId="0" borderId="11" xfId="6" applyNumberFormat="1" applyFont="1" applyFill="1" applyBorder="1" applyAlignment="1" applyProtection="1">
      <alignment horizontal="center" wrapText="1"/>
      <protection hidden="1"/>
    </xf>
    <xf numFmtId="9" fontId="5" fillId="0" borderId="6" xfId="6" applyNumberFormat="1" applyFont="1" applyFill="1" applyBorder="1" applyAlignment="1" applyProtection="1">
      <alignment horizontal="center" wrapText="1"/>
      <protection hidden="1"/>
    </xf>
    <xf numFmtId="9" fontId="5" fillId="0" borderId="4" xfId="6" applyNumberFormat="1" applyFont="1" applyFill="1" applyBorder="1" applyAlignment="1" applyProtection="1">
      <alignment horizontal="center" wrapText="1"/>
      <protection hidden="1"/>
    </xf>
    <xf numFmtId="9" fontId="5" fillId="0" borderId="9" xfId="6" applyNumberFormat="1" applyFont="1" applyFill="1" applyBorder="1" applyAlignment="1" applyProtection="1">
      <alignment horizontal="center" wrapText="1"/>
      <protection hidden="1"/>
    </xf>
    <xf numFmtId="9" fontId="5" fillId="0" borderId="5" xfId="6" applyNumberFormat="1" applyFont="1" applyFill="1" applyBorder="1" applyAlignment="1" applyProtection="1">
      <alignment horizontal="center"/>
      <protection hidden="1"/>
    </xf>
    <xf numFmtId="9" fontId="5" fillId="0" borderId="5" xfId="6" applyNumberFormat="1" applyFont="1" applyFill="1" applyBorder="1" applyAlignment="1" applyProtection="1">
      <alignment horizontal="center" wrapText="1"/>
      <protection hidden="1"/>
    </xf>
    <xf numFmtId="3" fontId="5" fillId="0" borderId="5" xfId="6" applyNumberFormat="1" applyFont="1" applyFill="1" applyBorder="1" applyAlignment="1" applyProtection="1">
      <alignment horizontal="right"/>
      <protection hidden="1"/>
    </xf>
    <xf numFmtId="9" fontId="3" fillId="0" borderId="7" xfId="6" applyNumberFormat="1" applyFill="1" applyBorder="1" applyProtection="1">
      <alignment vertical="top"/>
      <protection hidden="1"/>
    </xf>
    <xf numFmtId="3" fontId="4" fillId="0" borderId="1" xfId="6" applyNumberFormat="1" applyFont="1" applyFill="1" applyBorder="1" applyProtection="1">
      <alignment vertical="top"/>
      <protection hidden="1"/>
    </xf>
    <xf numFmtId="9" fontId="5" fillId="0" borderId="7" xfId="6" applyNumberFormat="1" applyFont="1" applyFill="1" applyBorder="1" applyProtection="1">
      <alignment vertical="top"/>
      <protection hidden="1"/>
    </xf>
    <xf numFmtId="3" fontId="6" fillId="6" borderId="1" xfId="1" applyNumberFormat="1" applyFill="1" applyBorder="1" applyAlignment="1" applyProtection="1">
      <alignment horizontal="left" vertical="top" wrapText="1"/>
      <protection locked="0" hidden="1"/>
    </xf>
    <xf numFmtId="3" fontId="6" fillId="6" borderId="1" xfId="1" applyNumberFormat="1" applyFill="1" applyBorder="1" applyAlignment="1" applyProtection="1">
      <alignment horizontal="right" vertical="top" wrapText="1"/>
      <protection locked="0" hidden="1"/>
    </xf>
    <xf numFmtId="3" fontId="6" fillId="6" borderId="6" xfId="1" applyNumberFormat="1" applyFill="1" applyBorder="1" applyAlignment="1" applyProtection="1">
      <alignment horizontal="right" vertical="top" wrapText="1"/>
      <protection locked="0" hidden="1"/>
    </xf>
    <xf numFmtId="3" fontId="6" fillId="6" borderId="6" xfId="1" applyNumberFormat="1" applyFill="1" applyBorder="1" applyAlignment="1" applyProtection="1">
      <alignment horizontal="left" vertical="top" wrapText="1"/>
      <protection locked="0" hidden="1"/>
    </xf>
    <xf numFmtId="0" fontId="4" fillId="6" borderId="5" xfId="6" applyFont="1" applyFill="1" applyBorder="1" applyAlignment="1" applyProtection="1">
      <alignment horizontal="center" vertical="top" wrapText="1"/>
      <protection locked="0" hidden="1"/>
    </xf>
    <xf numFmtId="0" fontId="4" fillId="6" borderId="5" xfId="6" applyFont="1" applyFill="1" applyBorder="1" applyAlignment="1" applyProtection="1">
      <alignment horizontal="center" vertical="top"/>
      <protection locked="0" hidden="1"/>
    </xf>
    <xf numFmtId="0" fontId="4" fillId="6" borderId="6" xfId="6" applyFont="1" applyFill="1" applyBorder="1" applyAlignment="1" applyProtection="1">
      <alignment horizontal="left" vertical="top"/>
      <protection locked="0" hidden="1"/>
    </xf>
    <xf numFmtId="0" fontId="4" fillId="6" borderId="6" xfId="6" applyFont="1" applyFill="1" applyBorder="1" applyAlignment="1" applyProtection="1">
      <alignment horizontal="right" vertical="top"/>
      <protection locked="0" hidden="1"/>
    </xf>
    <xf numFmtId="0" fontId="5" fillId="6" borderId="6" xfId="6" applyFont="1" applyFill="1" applyBorder="1" applyAlignment="1" applyProtection="1">
      <alignment horizontal="right" vertical="top"/>
      <protection locked="0" hidden="1"/>
    </xf>
    <xf numFmtId="0" fontId="5" fillId="6" borderId="1" xfId="6" applyFont="1" applyFill="1" applyBorder="1" applyAlignment="1" applyProtection="1">
      <alignment horizontal="right" vertical="top"/>
      <protection locked="0" hidden="1"/>
    </xf>
    <xf numFmtId="0" fontId="4" fillId="6" borderId="6" xfId="6" applyFont="1" applyFill="1" applyBorder="1" applyAlignment="1" applyProtection="1">
      <alignment horizontal="left" vertical="top" wrapText="1"/>
      <protection locked="0" hidden="1"/>
    </xf>
    <xf numFmtId="0" fontId="4" fillId="6" borderId="1" xfId="6" applyFont="1" applyFill="1" applyBorder="1" applyAlignment="1" applyProtection="1">
      <alignment horizontal="right" vertical="top"/>
      <protection locked="0" hidden="1"/>
    </xf>
    <xf numFmtId="3" fontId="6" fillId="2" borderId="4" xfId="1" applyNumberFormat="1" applyFill="1" applyBorder="1" applyAlignment="1" applyProtection="1">
      <alignment horizontal="right" vertical="top" wrapText="1"/>
      <protection hidden="1"/>
    </xf>
    <xf numFmtId="164" fontId="5" fillId="0" borderId="0" xfId="1" applyNumberFormat="1" applyFont="1" applyFill="1" applyBorder="1" applyAlignment="1" applyProtection="1">
      <alignment horizontal="center" vertical="top" wrapText="1"/>
      <protection hidden="1"/>
    </xf>
    <xf numFmtId="0" fontId="5" fillId="2" borderId="0" xfId="0" applyFont="1" applyAlignment="1" applyProtection="1">
      <alignment horizontal="left" vertical="top" wrapText="1"/>
      <protection hidden="1"/>
    </xf>
    <xf numFmtId="164" fontId="4" fillId="3" borderId="6" xfId="6" applyNumberFormat="1" applyFont="1" applyFill="1" applyBorder="1" applyProtection="1">
      <alignment vertical="top"/>
      <protection hidden="1"/>
    </xf>
    <xf numFmtId="3" fontId="17" fillId="3" borderId="15" xfId="0" applyNumberFormat="1" applyFont="1" applyFill="1" applyBorder="1" applyAlignment="1" applyProtection="1">
      <alignment horizontal="right" vertical="top" wrapText="1"/>
      <protection hidden="1"/>
    </xf>
    <xf numFmtId="3" fontId="17" fillId="3" borderId="16" xfId="0" applyNumberFormat="1" applyFont="1" applyFill="1" applyBorder="1" applyAlignment="1" applyProtection="1">
      <alignment horizontal="center" vertical="top" wrapText="1"/>
      <protection hidden="1"/>
    </xf>
    <xf numFmtId="3" fontId="5" fillId="6" borderId="0" xfId="1" applyNumberFormat="1" applyFont="1" applyFill="1" applyBorder="1" applyAlignment="1" applyProtection="1">
      <alignment horizontal="center" vertical="top" wrapText="1"/>
      <protection locked="0"/>
    </xf>
    <xf numFmtId="3" fontId="4" fillId="6" borderId="5" xfId="1" applyNumberFormat="1" applyFont="1" applyFill="1" applyBorder="1" applyAlignment="1" applyProtection="1">
      <alignment horizontal="center" vertical="top" wrapText="1"/>
      <protection locked="0"/>
    </xf>
    <xf numFmtId="3" fontId="5" fillId="6" borderId="6" xfId="1" applyNumberFormat="1" applyFont="1" applyFill="1" applyBorder="1" applyAlignment="1" applyProtection="1">
      <alignment horizontal="center" vertical="top" wrapText="1"/>
      <protection locked="0"/>
    </xf>
    <xf numFmtId="0" fontId="24" fillId="0" borderId="0" xfId="9" applyFont="1" applyProtection="1">
      <protection hidden="1"/>
    </xf>
    <xf numFmtId="0" fontId="26" fillId="0" borderId="0" xfId="9" applyFont="1" applyAlignment="1" applyProtection="1">
      <alignment horizontal="right"/>
      <protection hidden="1"/>
    </xf>
    <xf numFmtId="0" fontId="28" fillId="0" borderId="0" xfId="9" applyFont="1" applyProtection="1">
      <protection hidden="1"/>
    </xf>
    <xf numFmtId="0" fontId="24" fillId="0" borderId="0" xfId="9" applyFont="1" applyAlignment="1" applyProtection="1">
      <alignment horizontal="right"/>
      <protection hidden="1"/>
    </xf>
    <xf numFmtId="165" fontId="29" fillId="0" borderId="0" xfId="8" applyNumberFormat="1" applyFont="1" applyFill="1" applyBorder="1" applyAlignment="1" applyProtection="1">
      <alignment horizontal="left"/>
      <protection hidden="1"/>
    </xf>
    <xf numFmtId="0" fontId="24" fillId="0" borderId="0" xfId="9" applyFont="1" applyAlignment="1" applyProtection="1">
      <alignment horizontal="center"/>
      <protection hidden="1"/>
    </xf>
    <xf numFmtId="1" fontId="4" fillId="7" borderId="0" xfId="9" applyNumberFormat="1" applyFont="1" applyFill="1" applyAlignment="1" applyProtection="1">
      <alignment horizontal="left"/>
      <protection locked="0"/>
    </xf>
    <xf numFmtId="0" fontId="28" fillId="0" borderId="0" xfId="9" applyFont="1" applyAlignment="1" applyProtection="1">
      <alignment horizontal="right"/>
      <protection hidden="1"/>
    </xf>
    <xf numFmtId="0" fontId="26" fillId="0" borderId="0" xfId="9" applyFont="1" applyProtection="1">
      <protection hidden="1"/>
    </xf>
    <xf numFmtId="0" fontId="28" fillId="0" borderId="0" xfId="9" applyFont="1" applyAlignment="1" applyProtection="1">
      <alignment horizontal="center"/>
      <protection hidden="1"/>
    </xf>
    <xf numFmtId="0" fontId="6" fillId="7" borderId="0" xfId="1" applyFill="1" applyBorder="1" applyAlignment="1" applyProtection="1">
      <protection locked="0"/>
    </xf>
    <xf numFmtId="3" fontId="22" fillId="0" borderId="0" xfId="0" applyNumberFormat="1" applyFont="1" applyFill="1" applyAlignment="1" applyProtection="1">
      <alignment vertical="top"/>
      <protection hidden="1"/>
    </xf>
    <xf numFmtId="3" fontId="22" fillId="0" borderId="0" xfId="0" applyNumberFormat="1" applyFont="1" applyFill="1" applyProtection="1">
      <protection hidden="1"/>
    </xf>
    <xf numFmtId="0" fontId="30" fillId="0" borderId="0" xfId="7" applyFont="1"/>
    <xf numFmtId="0" fontId="30" fillId="0" borderId="0" xfId="9" applyFont="1"/>
    <xf numFmtId="1" fontId="30" fillId="2" borderId="0" xfId="9" applyNumberFormat="1" applyFont="1" applyFill="1" applyProtection="1">
      <protection hidden="1"/>
    </xf>
    <xf numFmtId="0" fontId="30" fillId="2" borderId="0" xfId="9" applyFont="1" applyFill="1" applyProtection="1">
      <protection hidden="1"/>
    </xf>
    <xf numFmtId="0" fontId="30" fillId="2" borderId="0" xfId="7" applyFont="1" applyFill="1" applyProtection="1">
      <protection hidden="1"/>
    </xf>
    <xf numFmtId="0" fontId="30" fillId="0" borderId="0" xfId="7" applyFont="1" applyProtection="1">
      <protection hidden="1"/>
    </xf>
    <xf numFmtId="0" fontId="30" fillId="2" borderId="0" xfId="7" applyFont="1" applyFill="1" applyAlignment="1" applyProtection="1">
      <alignment horizontal="right"/>
      <protection hidden="1"/>
    </xf>
    <xf numFmtId="14" fontId="30" fillId="0" borderId="0" xfId="7" applyNumberFormat="1" applyFont="1"/>
    <xf numFmtId="165" fontId="30" fillId="2" borderId="0" xfId="7" applyNumberFormat="1" applyFont="1" applyFill="1" applyAlignment="1" applyProtection="1">
      <alignment horizontal="right"/>
      <protection hidden="1"/>
    </xf>
    <xf numFmtId="0" fontId="31" fillId="0" borderId="0" xfId="1" applyFont="1" applyAlignment="1" applyProtection="1"/>
    <xf numFmtId="1" fontId="30" fillId="0" borderId="0" xfId="9" applyNumberFormat="1" applyFont="1"/>
    <xf numFmtId="49" fontId="30" fillId="2" borderId="0" xfId="7" applyNumberFormat="1" applyFont="1" applyFill="1" applyProtection="1">
      <protection hidden="1"/>
    </xf>
    <xf numFmtId="1" fontId="30" fillId="2" borderId="0" xfId="7" applyNumberFormat="1" applyFont="1" applyFill="1" applyProtection="1">
      <protection hidden="1"/>
    </xf>
    <xf numFmtId="49" fontId="30" fillId="2" borderId="0" xfId="9" applyNumberFormat="1" applyFont="1" applyFill="1" applyProtection="1">
      <protection hidden="1"/>
    </xf>
    <xf numFmtId="3" fontId="21" fillId="0" borderId="0" xfId="0" applyNumberFormat="1" applyFont="1" applyFill="1" applyAlignment="1" applyProtection="1">
      <alignment horizontal="center" vertical="top"/>
      <protection hidden="1"/>
    </xf>
    <xf numFmtId="0" fontId="6" fillId="2" borderId="0" xfId="1" applyFill="1" applyAlignment="1" applyProtection="1">
      <alignment horizontal="center"/>
    </xf>
    <xf numFmtId="0" fontId="3" fillId="0" borderId="0" xfId="9" applyFont="1" applyAlignment="1" applyProtection="1">
      <alignment horizontal="center"/>
      <protection hidden="1"/>
    </xf>
    <xf numFmtId="0" fontId="24" fillId="0" borderId="0" xfId="9" applyFont="1" applyAlignment="1" applyProtection="1">
      <alignment horizontal="center"/>
      <protection hidden="1"/>
    </xf>
    <xf numFmtId="0" fontId="25" fillId="0" borderId="0" xfId="9" applyFont="1" applyAlignment="1" applyProtection="1">
      <alignment horizontal="center"/>
      <protection hidden="1"/>
    </xf>
    <xf numFmtId="0" fontId="6" fillId="0" borderId="0" xfId="1" applyBorder="1" applyAlignment="1" applyProtection="1">
      <alignment horizontal="center"/>
      <protection hidden="1"/>
    </xf>
    <xf numFmtId="0" fontId="24" fillId="0" borderId="0" xfId="9" applyFont="1" applyAlignment="1" applyProtection="1">
      <alignment horizontal="center" vertical="top" wrapText="1"/>
      <protection hidden="1"/>
    </xf>
    <xf numFmtId="0" fontId="24" fillId="0" borderId="0" xfId="9" applyFont="1" applyAlignment="1" applyProtection="1">
      <alignment horizontal="justify" vertical="top" wrapText="1"/>
      <protection hidden="1"/>
    </xf>
    <xf numFmtId="0" fontId="26" fillId="0" borderId="0" xfId="9" applyFont="1" applyAlignment="1" applyProtection="1">
      <alignment horizontal="center"/>
      <protection hidden="1"/>
    </xf>
    <xf numFmtId="0" fontId="6" fillId="0" borderId="0" xfId="1" applyBorder="1" applyAlignment="1" applyProtection="1">
      <alignment horizontal="center" vertical="top" wrapText="1"/>
      <protection hidden="1"/>
    </xf>
    <xf numFmtId="3" fontId="5" fillId="2" borderId="1" xfId="1" applyNumberFormat="1" applyFont="1" applyFill="1" applyBorder="1" applyAlignment="1" applyProtection="1">
      <alignment horizontal="left" vertical="top" wrapText="1"/>
      <protection hidden="1"/>
    </xf>
    <xf numFmtId="3" fontId="0" fillId="2" borderId="7" xfId="0" applyNumberFormat="1" applyBorder="1" applyAlignment="1" applyProtection="1">
      <alignment horizontal="left" vertical="top"/>
      <protection hidden="1"/>
    </xf>
    <xf numFmtId="3" fontId="13" fillId="2" borderId="1" xfId="1" applyNumberFormat="1" applyFont="1" applyFill="1" applyBorder="1" applyAlignment="1" applyProtection="1">
      <alignment horizontal="left" vertical="top" wrapText="1"/>
      <protection hidden="1"/>
    </xf>
    <xf numFmtId="3" fontId="13" fillId="2" borderId="0" xfId="1" applyNumberFormat="1" applyFont="1" applyFill="1" applyBorder="1" applyAlignment="1" applyProtection="1">
      <protection hidden="1"/>
    </xf>
    <xf numFmtId="3" fontId="17" fillId="2" borderId="1" xfId="1" applyNumberFormat="1" applyFont="1" applyFill="1" applyBorder="1" applyAlignment="1" applyProtection="1">
      <alignment horizontal="center" vertical="top" wrapText="1"/>
      <protection hidden="1"/>
    </xf>
    <xf numFmtId="3" fontId="17" fillId="2" borderId="0" xfId="1" applyNumberFormat="1" applyFont="1" applyFill="1" applyBorder="1" applyAlignment="1" applyProtection="1">
      <alignment horizontal="center" vertical="top" wrapText="1"/>
      <protection hidden="1"/>
    </xf>
    <xf numFmtId="3" fontId="17" fillId="2" borderId="7" xfId="1" applyNumberFormat="1" applyFont="1" applyFill="1" applyBorder="1" applyAlignment="1" applyProtection="1">
      <alignment horizontal="center" vertical="top" wrapText="1"/>
      <protection hidden="1"/>
    </xf>
    <xf numFmtId="3" fontId="0" fillId="2" borderId="0" xfId="0" applyNumberFormat="1" applyAlignment="1" applyProtection="1">
      <alignment vertical="top"/>
      <protection hidden="1"/>
    </xf>
    <xf numFmtId="3" fontId="0" fillId="2" borderId="7" xfId="0" applyNumberFormat="1" applyBorder="1" applyAlignment="1" applyProtection="1">
      <alignment vertical="top"/>
      <protection hidden="1"/>
    </xf>
    <xf numFmtId="3" fontId="5" fillId="2" borderId="0" xfId="1" applyNumberFormat="1" applyFont="1" applyFill="1" applyBorder="1" applyAlignment="1" applyProtection="1">
      <alignment horizontal="left" vertical="top" wrapText="1"/>
      <protection hidden="1"/>
    </xf>
    <xf numFmtId="3" fontId="5" fillId="2" borderId="0" xfId="0" applyNumberFormat="1" applyFont="1" applyAlignment="1" applyProtection="1">
      <alignment horizontal="left" vertical="top" wrapText="1"/>
      <protection hidden="1"/>
    </xf>
    <xf numFmtId="3" fontId="0" fillId="2" borderId="0" xfId="0" applyNumberFormat="1" applyProtection="1">
      <protection hidden="1"/>
    </xf>
    <xf numFmtId="3" fontId="0" fillId="2" borderId="7" xfId="0" applyNumberFormat="1" applyBorder="1" applyProtection="1">
      <protection hidden="1"/>
    </xf>
    <xf numFmtId="3" fontId="16" fillId="2" borderId="0" xfId="0" applyNumberFormat="1" applyFont="1" applyAlignment="1" applyProtection="1">
      <alignment horizontal="center" vertical="top" wrapText="1"/>
      <protection hidden="1"/>
    </xf>
    <xf numFmtId="3" fontId="0" fillId="2" borderId="0" xfId="0" applyNumberFormat="1" applyAlignment="1" applyProtection="1">
      <alignment horizontal="center" vertical="top" wrapText="1"/>
      <protection hidden="1"/>
    </xf>
    <xf numFmtId="3" fontId="21" fillId="0" borderId="17" xfId="0" applyNumberFormat="1" applyFont="1" applyFill="1" applyBorder="1" applyAlignment="1" applyProtection="1">
      <alignment horizontal="center" vertical="top"/>
      <protection hidden="1"/>
    </xf>
    <xf numFmtId="3" fontId="22" fillId="0" borderId="18" xfId="0" applyNumberFormat="1" applyFont="1" applyFill="1" applyBorder="1" applyAlignment="1" applyProtection="1">
      <alignment vertical="top"/>
      <protection hidden="1"/>
    </xf>
    <xf numFmtId="3" fontId="22" fillId="0" borderId="18" xfId="0" applyNumberFormat="1" applyFont="1" applyFill="1" applyBorder="1" applyProtection="1">
      <protection hidden="1"/>
    </xf>
    <xf numFmtId="3" fontId="22" fillId="0" borderId="19" xfId="0" applyNumberFormat="1" applyFont="1" applyFill="1" applyBorder="1" applyProtection="1">
      <protection hidden="1"/>
    </xf>
    <xf numFmtId="3" fontId="5" fillId="2" borderId="1" xfId="0" applyNumberFormat="1" applyFont="1" applyBorder="1" applyAlignment="1" applyProtection="1">
      <alignment horizontal="center" vertical="top" wrapText="1"/>
      <protection hidden="1"/>
    </xf>
    <xf numFmtId="3" fontId="27" fillId="2" borderId="20" xfId="0" applyNumberFormat="1" applyFont="1" applyBorder="1" applyAlignment="1" applyProtection="1">
      <alignment horizontal="center" vertical="top" wrapText="1"/>
      <protection hidden="1"/>
    </xf>
    <xf numFmtId="3" fontId="6" fillId="2" borderId="2" xfId="1" applyNumberFormat="1" applyFill="1" applyBorder="1" applyAlignment="1" applyProtection="1">
      <alignment horizontal="center" vertical="top" wrapText="1"/>
      <protection hidden="1"/>
    </xf>
    <xf numFmtId="3" fontId="6" fillId="2" borderId="10" xfId="1" applyNumberFormat="1" applyFill="1" applyBorder="1" applyAlignment="1" applyProtection="1">
      <alignment horizontal="center" vertical="top" wrapText="1"/>
      <protection hidden="1"/>
    </xf>
    <xf numFmtId="3" fontId="6" fillId="2" borderId="9" xfId="1" applyNumberFormat="1" applyFill="1" applyBorder="1" applyAlignment="1" applyProtection="1">
      <alignment vertical="top"/>
      <protection hidden="1"/>
    </xf>
    <xf numFmtId="3" fontId="0" fillId="6" borderId="0" xfId="0" applyNumberFormat="1" applyFill="1" applyProtection="1">
      <protection locked="0"/>
    </xf>
    <xf numFmtId="0" fontId="0" fillId="2" borderId="7" xfId="0" applyBorder="1" applyAlignment="1" applyProtection="1">
      <alignment horizontal="left" vertical="top"/>
      <protection hidden="1"/>
    </xf>
    <xf numFmtId="3" fontId="5" fillId="0" borderId="0" xfId="1" applyNumberFormat="1" applyFont="1" applyFill="1" applyBorder="1" applyAlignment="1" applyProtection="1">
      <alignment horizontal="left" vertical="top" wrapText="1"/>
      <protection hidden="1"/>
    </xf>
    <xf numFmtId="0" fontId="0" fillId="2" borderId="0" xfId="0" applyAlignment="1" applyProtection="1">
      <alignment horizontal="left" vertical="top"/>
      <protection hidden="1"/>
    </xf>
    <xf numFmtId="3" fontId="13" fillId="2" borderId="0" xfId="1" applyNumberFormat="1" applyFont="1" applyFill="1" applyAlignment="1" applyProtection="1">
      <alignment vertical="top" wrapText="1"/>
      <protection hidden="1"/>
    </xf>
    <xf numFmtId="3" fontId="0" fillId="2" borderId="0" xfId="0" applyNumberFormat="1" applyAlignment="1" applyProtection="1">
      <alignment horizontal="left" vertical="top"/>
      <protection hidden="1"/>
    </xf>
    <xf numFmtId="3" fontId="5" fillId="0" borderId="0" xfId="1" applyNumberFormat="1" applyFont="1" applyFill="1" applyBorder="1" applyAlignment="1" applyProtection="1">
      <alignment horizontal="center" vertical="top" wrapText="1"/>
      <protection hidden="1"/>
    </xf>
    <xf numFmtId="3" fontId="9" fillId="0" borderId="0" xfId="0" applyNumberFormat="1" applyFont="1" applyFill="1" applyAlignment="1" applyProtection="1">
      <alignment vertical="top" wrapText="1"/>
      <protection hidden="1"/>
    </xf>
    <xf numFmtId="3" fontId="9" fillId="0" borderId="7" xfId="0" applyNumberFormat="1" applyFont="1" applyFill="1" applyBorder="1" applyAlignment="1" applyProtection="1">
      <alignment vertical="top" wrapText="1"/>
      <protection hidden="1"/>
    </xf>
    <xf numFmtId="3" fontId="12" fillId="2" borderId="0" xfId="1" applyNumberFormat="1" applyFont="1" applyFill="1" applyAlignment="1" applyProtection="1">
      <alignment horizontal="center" vertical="top"/>
      <protection hidden="1"/>
    </xf>
    <xf numFmtId="3" fontId="9" fillId="0" borderId="20" xfId="0" applyNumberFormat="1" applyFont="1" applyFill="1" applyBorder="1" applyAlignment="1" applyProtection="1">
      <alignment vertical="top" wrapText="1"/>
      <protection hidden="1"/>
    </xf>
    <xf numFmtId="3" fontId="9" fillId="0" borderId="21" xfId="0" applyNumberFormat="1" applyFont="1" applyFill="1" applyBorder="1" applyAlignment="1" applyProtection="1">
      <alignment vertical="top" wrapText="1"/>
      <protection hidden="1"/>
    </xf>
    <xf numFmtId="3" fontId="13" fillId="0" borderId="0" xfId="1" applyNumberFormat="1" applyFont="1" applyFill="1" applyBorder="1" applyAlignment="1" applyProtection="1">
      <alignment horizontal="left" vertical="top" wrapText="1"/>
      <protection hidden="1"/>
    </xf>
    <xf numFmtId="0" fontId="13" fillId="2" borderId="0" xfId="1" applyFont="1" applyFill="1" applyAlignment="1" applyProtection="1">
      <alignment horizontal="left" vertical="top"/>
      <protection hidden="1"/>
    </xf>
    <xf numFmtId="0" fontId="13" fillId="2" borderId="7" xfId="1" applyFont="1" applyFill="1" applyBorder="1" applyAlignment="1" applyProtection="1">
      <alignment horizontal="left" vertical="top"/>
      <protection hidden="1"/>
    </xf>
    <xf numFmtId="164" fontId="5" fillId="2" borderId="0" xfId="1" applyNumberFormat="1" applyFont="1" applyFill="1" applyBorder="1" applyAlignment="1" applyProtection="1">
      <alignment horizontal="left" vertical="top" wrapText="1"/>
      <protection hidden="1"/>
    </xf>
    <xf numFmtId="3" fontId="21" fillId="0" borderId="22" xfId="0" applyNumberFormat="1" applyFont="1" applyFill="1" applyBorder="1" applyAlignment="1" applyProtection="1">
      <alignment horizontal="center" vertical="top" wrapText="1"/>
      <protection hidden="1"/>
    </xf>
    <xf numFmtId="3" fontId="22" fillId="0" borderId="23" xfId="0" applyNumberFormat="1" applyFont="1" applyFill="1" applyBorder="1" applyAlignment="1" applyProtection="1">
      <alignment horizontal="center" vertical="top" wrapText="1"/>
      <protection hidden="1"/>
    </xf>
    <xf numFmtId="3" fontId="22" fillId="0" borderId="24" xfId="0" applyNumberFormat="1" applyFont="1" applyFill="1" applyBorder="1" applyAlignment="1" applyProtection="1">
      <alignment vertical="top"/>
      <protection hidden="1"/>
    </xf>
    <xf numFmtId="3" fontId="22" fillId="0" borderId="18" xfId="0" applyNumberFormat="1" applyFont="1" applyFill="1" applyBorder="1" applyAlignment="1" applyProtection="1">
      <alignment horizontal="center" vertical="top"/>
      <protection hidden="1"/>
    </xf>
    <xf numFmtId="3" fontId="5" fillId="0" borderId="2" xfId="0" applyNumberFormat="1" applyFont="1" applyFill="1" applyBorder="1" applyAlignment="1" applyProtection="1">
      <alignment horizontal="justify" vertical="top" wrapText="1"/>
      <protection hidden="1"/>
    </xf>
    <xf numFmtId="3" fontId="5" fillId="2" borderId="10" xfId="0" applyNumberFormat="1" applyFont="1" applyBorder="1" applyAlignment="1" applyProtection="1">
      <alignment horizontal="justify" vertical="top" wrapText="1"/>
      <protection hidden="1"/>
    </xf>
    <xf numFmtId="3" fontId="0" fillId="2" borderId="9" xfId="0" applyNumberFormat="1" applyBorder="1" applyAlignment="1" applyProtection="1">
      <alignment horizontal="justify" vertical="top"/>
      <protection hidden="1"/>
    </xf>
    <xf numFmtId="3" fontId="13" fillId="3" borderId="16" xfId="1" applyNumberFormat="1" applyFont="1" applyFill="1" applyBorder="1" applyAlignment="1" applyProtection="1">
      <alignment horizontal="left" vertical="top" wrapText="1"/>
      <protection hidden="1"/>
    </xf>
    <xf numFmtId="3" fontId="13" fillId="3" borderId="25" xfId="1" applyNumberFormat="1" applyFont="1" applyFill="1" applyBorder="1" applyAlignment="1" applyProtection="1">
      <alignment horizontal="left" vertical="top" wrapText="1"/>
      <protection hidden="1"/>
    </xf>
    <xf numFmtId="3" fontId="9" fillId="2" borderId="0" xfId="6" applyNumberFormat="1" applyFont="1" applyAlignment="1" applyProtection="1">
      <alignment horizontal="center" vertical="top"/>
      <protection hidden="1"/>
    </xf>
    <xf numFmtId="3" fontId="19" fillId="2" borderId="0" xfId="0" applyNumberFormat="1" applyFont="1" applyAlignment="1" applyProtection="1">
      <alignment horizontal="center" vertical="top"/>
      <protection hidden="1"/>
    </xf>
    <xf numFmtId="3" fontId="11" fillId="2" borderId="0" xfId="6" applyNumberFormat="1" applyFont="1" applyAlignment="1" applyProtection="1">
      <alignment horizontal="center" vertical="top"/>
      <protection hidden="1"/>
    </xf>
    <xf numFmtId="3" fontId="12" fillId="0" borderId="0" xfId="1" applyNumberFormat="1" applyFont="1" applyBorder="1" applyAlignment="1" applyProtection="1">
      <alignment horizontal="center" vertical="top"/>
      <protection hidden="1"/>
    </xf>
    <xf numFmtId="3" fontId="11" fillId="2" borderId="0" xfId="1" applyNumberFormat="1" applyFont="1" applyFill="1" applyAlignment="1" applyProtection="1">
      <alignment horizontal="center" vertical="top"/>
      <protection hidden="1"/>
    </xf>
    <xf numFmtId="49" fontId="12" fillId="2" borderId="0" xfId="1" applyNumberFormat="1" applyFont="1" applyFill="1" applyAlignment="1" applyProtection="1">
      <alignment horizontal="center" vertical="top"/>
      <protection hidden="1"/>
    </xf>
    <xf numFmtId="49" fontId="9" fillId="2" borderId="0" xfId="6" applyNumberFormat="1" applyFont="1" applyAlignment="1" applyProtection="1">
      <alignment horizontal="center" vertical="top"/>
      <protection hidden="1"/>
    </xf>
    <xf numFmtId="49" fontId="11" fillId="2" borderId="0" xfId="6" applyNumberFormat="1" applyFont="1" applyAlignment="1" applyProtection="1">
      <alignment horizontal="center" vertical="top"/>
      <protection hidden="1"/>
    </xf>
    <xf numFmtId="49" fontId="12" fillId="0" borderId="0" xfId="1" applyNumberFormat="1" applyFont="1" applyBorder="1" applyAlignment="1" applyProtection="1">
      <alignment horizontal="center" vertical="top"/>
      <protection hidden="1"/>
    </xf>
    <xf numFmtId="49" fontId="11" fillId="2" borderId="0" xfId="1" applyNumberFormat="1" applyFont="1" applyFill="1" applyAlignment="1" applyProtection="1">
      <alignment horizontal="center" vertical="top"/>
      <protection hidden="1"/>
    </xf>
    <xf numFmtId="0" fontId="16" fillId="2" borderId="0" xfId="0" applyFont="1" applyAlignment="1" applyProtection="1">
      <alignment horizontal="center" vertical="top" wrapText="1"/>
      <protection hidden="1"/>
    </xf>
    <xf numFmtId="0" fontId="0" fillId="2" borderId="0" xfId="0" applyAlignment="1" applyProtection="1">
      <alignment horizontal="center" vertical="top"/>
      <protection hidden="1"/>
    </xf>
    <xf numFmtId="49" fontId="16" fillId="2" borderId="0" xfId="0" applyNumberFormat="1" applyFont="1" applyAlignment="1" applyProtection="1">
      <alignment horizontal="center" vertical="top" wrapText="1"/>
      <protection hidden="1"/>
    </xf>
    <xf numFmtId="49" fontId="0" fillId="2" borderId="0" xfId="0" applyNumberFormat="1" applyAlignment="1" applyProtection="1">
      <alignment horizontal="center" vertical="top" wrapText="1"/>
      <protection hidden="1"/>
    </xf>
    <xf numFmtId="0" fontId="21" fillId="0" borderId="17" xfId="0" applyFont="1" applyFill="1" applyBorder="1" applyAlignment="1" applyProtection="1">
      <alignment horizontal="center" vertical="top"/>
      <protection hidden="1"/>
    </xf>
    <xf numFmtId="0" fontId="22" fillId="0" borderId="18" xfId="0" applyFont="1" applyFill="1" applyBorder="1" applyAlignment="1" applyProtection="1">
      <alignment horizontal="center" vertical="top"/>
      <protection hidden="1"/>
    </xf>
    <xf numFmtId="0" fontId="22" fillId="0" borderId="19" xfId="0" applyFont="1" applyFill="1" applyBorder="1" applyAlignment="1" applyProtection="1">
      <alignment horizontal="center" vertical="top"/>
      <protection hidden="1"/>
    </xf>
    <xf numFmtId="0" fontId="5" fillId="2" borderId="2" xfId="0" applyFont="1" applyBorder="1" applyAlignment="1" applyProtection="1">
      <alignment horizontal="justify" vertical="top" wrapText="1"/>
      <protection hidden="1"/>
    </xf>
    <xf numFmtId="0" fontId="0" fillId="2" borderId="10" xfId="0" applyBorder="1" applyAlignment="1" applyProtection="1">
      <alignment horizontal="justify" vertical="top" wrapText="1"/>
      <protection hidden="1"/>
    </xf>
    <xf numFmtId="0" fontId="0" fillId="2" borderId="9" xfId="0" applyBorder="1" applyAlignment="1" applyProtection="1">
      <alignment horizontal="justify" vertical="top" wrapText="1"/>
      <protection hidden="1"/>
    </xf>
    <xf numFmtId="3" fontId="21" fillId="0" borderId="17" xfId="6" applyNumberFormat="1" applyFont="1" applyFill="1" applyBorder="1" applyAlignment="1" applyProtection="1">
      <alignment horizontal="center" vertical="top"/>
      <protection hidden="1"/>
    </xf>
    <xf numFmtId="0" fontId="22" fillId="0" borderId="18" xfId="0" applyFont="1" applyFill="1" applyBorder="1" applyAlignment="1" applyProtection="1">
      <alignment horizontal="center"/>
      <protection hidden="1"/>
    </xf>
    <xf numFmtId="0" fontId="22" fillId="0" borderId="19" xfId="0" applyFont="1" applyFill="1" applyBorder="1" applyAlignment="1" applyProtection="1">
      <alignment horizontal="center"/>
      <protection hidden="1"/>
    </xf>
    <xf numFmtId="0" fontId="21" fillId="0" borderId="17" xfId="0" applyFont="1" applyFill="1" applyBorder="1" applyAlignment="1" applyProtection="1">
      <alignment horizontal="center" vertical="top" wrapText="1"/>
      <protection hidden="1"/>
    </xf>
    <xf numFmtId="0" fontId="21" fillId="0" borderId="18" xfId="0" applyFont="1" applyFill="1" applyBorder="1" applyAlignment="1" applyProtection="1">
      <alignment horizontal="center" vertical="top" wrapText="1"/>
      <protection hidden="1"/>
    </xf>
    <xf numFmtId="0" fontId="21" fillId="0" borderId="19" xfId="0" applyFont="1" applyFill="1" applyBorder="1" applyAlignment="1" applyProtection="1">
      <alignment horizontal="center" vertical="top" wrapText="1"/>
      <protection hidden="1"/>
    </xf>
    <xf numFmtId="0" fontId="6" fillId="2" borderId="13" xfId="1" applyFill="1" applyBorder="1" applyAlignment="1" applyProtection="1">
      <alignment horizontal="center" vertical="center" wrapText="1"/>
      <protection hidden="1"/>
    </xf>
    <xf numFmtId="0" fontId="6" fillId="2" borderId="11" xfId="1" applyFill="1" applyBorder="1" applyAlignment="1" applyProtection="1">
      <alignment horizontal="center" vertical="center" wrapText="1"/>
      <protection hidden="1"/>
    </xf>
    <xf numFmtId="0" fontId="6" fillId="2" borderId="10" xfId="1" applyFill="1" applyBorder="1" applyAlignment="1" applyProtection="1">
      <alignment horizontal="center" vertical="center" wrapText="1"/>
      <protection hidden="1"/>
    </xf>
    <xf numFmtId="0" fontId="6" fillId="2" borderId="9" xfId="1" applyFill="1" applyBorder="1" applyAlignment="1" applyProtection="1">
      <alignment horizontal="center" vertical="center" wrapText="1"/>
      <protection hidden="1"/>
    </xf>
    <xf numFmtId="0" fontId="6" fillId="0" borderId="1" xfId="1" applyFill="1" applyBorder="1" applyAlignment="1" applyProtection="1">
      <alignment horizontal="right" vertical="top" wrapText="1"/>
      <protection hidden="1"/>
    </xf>
    <xf numFmtId="0" fontId="6" fillId="0" borderId="0" xfId="1" applyFill="1" applyBorder="1" applyAlignment="1" applyProtection="1">
      <alignment horizontal="right" vertical="top" wrapText="1"/>
      <protection hidden="1"/>
    </xf>
    <xf numFmtId="0" fontId="5" fillId="2" borderId="0" xfId="0" applyFont="1" applyAlignment="1" applyProtection="1">
      <alignment horizontal="center" vertical="top" wrapText="1"/>
      <protection hidden="1"/>
    </xf>
    <xf numFmtId="0" fontId="5" fillId="2" borderId="0" xfId="0" applyFont="1" applyAlignment="1" applyProtection="1">
      <alignment vertical="top" wrapText="1"/>
      <protection hidden="1"/>
    </xf>
    <xf numFmtId="0" fontId="6" fillId="2" borderId="0" xfId="1" applyFill="1" applyBorder="1" applyAlignment="1" applyProtection="1">
      <alignment horizontal="center" vertical="top" wrapText="1"/>
      <protection hidden="1"/>
    </xf>
    <xf numFmtId="0" fontId="22" fillId="0" borderId="18" xfId="0" applyFont="1" applyFill="1" applyBorder="1" applyAlignment="1" applyProtection="1">
      <alignment horizontal="center" vertical="top" wrapText="1"/>
      <protection hidden="1"/>
    </xf>
    <xf numFmtId="0" fontId="22" fillId="0" borderId="19" xfId="0" applyFont="1" applyFill="1" applyBorder="1" applyAlignment="1" applyProtection="1">
      <alignment horizontal="center" vertical="top" wrapText="1"/>
      <protection hidden="1"/>
    </xf>
    <xf numFmtId="0" fontId="4" fillId="2" borderId="1" xfId="0" applyFont="1" applyBorder="1" applyAlignment="1" applyProtection="1">
      <alignment horizontal="right" vertical="top" wrapText="1"/>
      <protection hidden="1"/>
    </xf>
    <xf numFmtId="0" fontId="0" fillId="2" borderId="0" xfId="0" applyAlignment="1" applyProtection="1">
      <alignment vertical="top" wrapText="1"/>
      <protection hidden="1"/>
    </xf>
    <xf numFmtId="0" fontId="5" fillId="2" borderId="0" xfId="1" applyFont="1" applyFill="1" applyBorder="1" applyAlignment="1" applyProtection="1">
      <alignment horizontal="left" vertical="top" wrapText="1"/>
      <protection hidden="1"/>
    </xf>
    <xf numFmtId="0" fontId="0" fillId="2" borderId="0" xfId="0" applyAlignment="1" applyProtection="1">
      <alignment horizontal="left" vertical="top" wrapText="1"/>
      <protection hidden="1"/>
    </xf>
    <xf numFmtId="0" fontId="0" fillId="2" borderId="7" xfId="0" applyBorder="1" applyAlignment="1" applyProtection="1">
      <alignment horizontal="left" vertical="top" wrapText="1"/>
      <protection hidden="1"/>
    </xf>
    <xf numFmtId="3" fontId="5" fillId="0" borderId="0" xfId="0" applyNumberFormat="1" applyFont="1" applyFill="1" applyAlignment="1" applyProtection="1">
      <alignment vertical="top" wrapText="1"/>
      <protection hidden="1"/>
    </xf>
    <xf numFmtId="0" fontId="0" fillId="2" borderId="7" xfId="0" applyBorder="1" applyAlignment="1" applyProtection="1">
      <alignment vertical="top" wrapText="1"/>
      <protection hidden="1"/>
    </xf>
    <xf numFmtId="3" fontId="17" fillId="0" borderId="0" xfId="0" applyNumberFormat="1" applyFont="1" applyFill="1" applyAlignment="1" applyProtection="1">
      <alignment horizontal="left" vertical="top" wrapText="1"/>
      <protection hidden="1"/>
    </xf>
    <xf numFmtId="3" fontId="17" fillId="0" borderId="7" xfId="0" applyNumberFormat="1" applyFont="1" applyFill="1" applyBorder="1" applyAlignment="1" applyProtection="1">
      <alignment horizontal="left" vertical="top" wrapText="1"/>
      <protection hidden="1"/>
    </xf>
    <xf numFmtId="3" fontId="3" fillId="0" borderId="0" xfId="0" applyNumberFormat="1" applyFont="1" applyFill="1" applyAlignment="1" applyProtection="1">
      <alignment horizontal="left" vertical="top" wrapText="1"/>
      <protection hidden="1"/>
    </xf>
    <xf numFmtId="3" fontId="3" fillId="0" borderId="7" xfId="0" applyNumberFormat="1" applyFont="1" applyFill="1" applyBorder="1" applyAlignment="1" applyProtection="1">
      <alignment horizontal="left" vertical="top" wrapText="1"/>
      <protection hidden="1"/>
    </xf>
    <xf numFmtId="3" fontId="3" fillId="0" borderId="20" xfId="0" applyNumberFormat="1" applyFont="1" applyFill="1" applyBorder="1" applyAlignment="1" applyProtection="1">
      <alignment horizontal="left" vertical="top" wrapText="1"/>
      <protection hidden="1"/>
    </xf>
    <xf numFmtId="3" fontId="3" fillId="0" borderId="21" xfId="0" applyNumberFormat="1" applyFont="1" applyFill="1" applyBorder="1" applyAlignment="1" applyProtection="1">
      <alignment horizontal="left" vertical="top" wrapText="1"/>
      <protection hidden="1"/>
    </xf>
    <xf numFmtId="0" fontId="6" fillId="2" borderId="0" xfId="1" applyFill="1" applyAlignment="1" applyProtection="1">
      <alignment horizontal="center" vertical="top" wrapText="1"/>
      <protection hidden="1"/>
    </xf>
    <xf numFmtId="0" fontId="6" fillId="2" borderId="0" xfId="1" applyFill="1" applyAlignment="1" applyProtection="1">
      <alignment vertical="top" wrapText="1"/>
      <protection hidden="1"/>
    </xf>
    <xf numFmtId="0" fontId="0" fillId="2" borderId="0" xfId="0" applyProtection="1">
      <protection hidden="1"/>
    </xf>
    <xf numFmtId="49" fontId="0" fillId="2" borderId="0" xfId="0" applyNumberFormat="1" applyAlignment="1" applyProtection="1">
      <alignment wrapText="1"/>
      <protection hidden="1"/>
    </xf>
    <xf numFmtId="0" fontId="22" fillId="0" borderId="18" xfId="0" applyFont="1" applyFill="1" applyBorder="1" applyAlignment="1" applyProtection="1">
      <alignment vertical="top"/>
      <protection hidden="1"/>
    </xf>
    <xf numFmtId="0" fontId="22" fillId="0" borderId="18" xfId="0" applyFont="1" applyFill="1" applyBorder="1" applyProtection="1">
      <protection hidden="1"/>
    </xf>
    <xf numFmtId="0" fontId="22" fillId="0" borderId="19" xfId="0" applyFont="1" applyFill="1" applyBorder="1" applyProtection="1">
      <protection hidden="1"/>
    </xf>
    <xf numFmtId="0" fontId="5" fillId="2" borderId="2" xfId="0" applyFont="1" applyBorder="1" applyAlignment="1" applyProtection="1">
      <alignment vertical="top" wrapText="1"/>
      <protection hidden="1"/>
    </xf>
    <xf numFmtId="0" fontId="0" fillId="2" borderId="10" xfId="0" applyBorder="1" applyAlignment="1" applyProtection="1">
      <alignment vertical="top" wrapText="1"/>
      <protection hidden="1"/>
    </xf>
    <xf numFmtId="0" fontId="0" fillId="2" borderId="9" xfId="0" applyBorder="1" applyAlignment="1" applyProtection="1">
      <alignment vertical="top" wrapText="1"/>
      <protection hidden="1"/>
    </xf>
    <xf numFmtId="0" fontId="21" fillId="0" borderId="17" xfId="6" applyFont="1" applyFill="1" applyBorder="1" applyAlignment="1" applyProtection="1">
      <alignment horizontal="center" vertical="top"/>
      <protection hidden="1"/>
    </xf>
    <xf numFmtId="0" fontId="21" fillId="0" borderId="18" xfId="6" applyFont="1" applyFill="1" applyBorder="1" applyAlignment="1" applyProtection="1">
      <alignment horizontal="center" vertical="top"/>
      <protection hidden="1"/>
    </xf>
    <xf numFmtId="0" fontId="21" fillId="0" borderId="19" xfId="6" applyFont="1" applyFill="1" applyBorder="1" applyAlignment="1" applyProtection="1">
      <alignment horizontal="center" vertical="top"/>
      <protection hidden="1"/>
    </xf>
    <xf numFmtId="49" fontId="12" fillId="2" borderId="0" xfId="1" applyNumberFormat="1" applyFont="1" applyFill="1" applyAlignment="1" applyProtection="1">
      <alignment horizontal="center" vertical="top" wrapText="1"/>
      <protection hidden="1"/>
    </xf>
    <xf numFmtId="0" fontId="9" fillId="2" borderId="0" xfId="6" applyFont="1" applyAlignment="1" applyProtection="1">
      <alignment horizontal="center" vertical="top" wrapText="1"/>
      <protection hidden="1"/>
    </xf>
    <xf numFmtId="0" fontId="11" fillId="2" borderId="0" xfId="6" applyFont="1" applyAlignment="1" applyProtection="1">
      <alignment horizontal="center" vertical="top" wrapText="1"/>
      <protection hidden="1"/>
    </xf>
    <xf numFmtId="0" fontId="12" fillId="0" borderId="0" xfId="1" applyNumberFormat="1" applyFont="1" applyBorder="1" applyAlignment="1" applyProtection="1">
      <alignment horizontal="center" vertical="top" wrapText="1"/>
      <protection hidden="1"/>
    </xf>
    <xf numFmtId="0" fontId="12" fillId="2" borderId="0" xfId="1" applyNumberFormat="1" applyFont="1" applyFill="1" applyAlignment="1" applyProtection="1">
      <alignment horizontal="center" vertical="top" wrapText="1"/>
      <protection hidden="1"/>
    </xf>
    <xf numFmtId="49" fontId="11" fillId="2" borderId="0" xfId="1" applyNumberFormat="1" applyFont="1" applyFill="1" applyAlignment="1" applyProtection="1">
      <alignment horizontal="center" vertical="top" wrapText="1"/>
      <protection hidden="1"/>
    </xf>
    <xf numFmtId="49" fontId="13" fillId="2" borderId="14" xfId="1" applyNumberFormat="1" applyFont="1" applyFill="1" applyBorder="1" applyAlignment="1" applyProtection="1">
      <alignment horizontal="center" vertical="top" wrapText="1"/>
      <protection hidden="1"/>
    </xf>
    <xf numFmtId="0" fontId="13" fillId="2" borderId="13" xfId="1" applyFont="1" applyFill="1" applyBorder="1" applyAlignment="1" applyProtection="1">
      <alignment horizontal="center" vertical="top" wrapText="1"/>
      <protection hidden="1"/>
    </xf>
    <xf numFmtId="0" fontId="13" fillId="2" borderId="11" xfId="1" applyFont="1" applyFill="1" applyBorder="1" applyAlignment="1" applyProtection="1">
      <alignment horizontal="center" vertical="top" wrapText="1"/>
      <protection hidden="1"/>
    </xf>
    <xf numFmtId="49" fontId="4" fillId="0" borderId="2" xfId="0" applyNumberFormat="1" applyFont="1" applyFill="1" applyBorder="1" applyAlignment="1" applyProtection="1">
      <alignment horizontal="center" vertical="top" wrapText="1"/>
      <protection hidden="1"/>
    </xf>
    <xf numFmtId="0" fontId="0" fillId="2" borderId="0" xfId="0" applyAlignment="1" applyProtection="1">
      <alignment horizontal="center" vertical="top" wrapText="1"/>
      <protection hidden="1"/>
    </xf>
    <xf numFmtId="0" fontId="0" fillId="2" borderId="9" xfId="0" applyBorder="1" applyAlignment="1" applyProtection="1">
      <alignment horizontal="center" vertical="top" wrapText="1"/>
      <protection hidden="1"/>
    </xf>
    <xf numFmtId="0" fontId="5" fillId="2" borderId="2" xfId="0" applyFont="1" applyBorder="1" applyAlignment="1" applyProtection="1">
      <alignment horizontal="left" vertical="top" wrapText="1"/>
      <protection hidden="1"/>
    </xf>
    <xf numFmtId="0" fontId="5" fillId="2" borderId="10" xfId="0" applyFont="1" applyBorder="1" applyAlignment="1" applyProtection="1">
      <alignment horizontal="left" vertical="top" wrapText="1"/>
      <protection hidden="1"/>
    </xf>
    <xf numFmtId="0" fontId="5" fillId="2" borderId="9" xfId="0" applyFont="1" applyBorder="1" applyAlignment="1" applyProtection="1">
      <alignment horizontal="left" vertical="top" wrapText="1"/>
      <protection hidden="1"/>
    </xf>
    <xf numFmtId="0" fontId="5" fillId="2" borderId="2" xfId="1" applyNumberFormat="1" applyFont="1" applyFill="1" applyBorder="1" applyAlignment="1" applyProtection="1">
      <alignment horizontal="justify" vertical="top" wrapText="1"/>
      <protection hidden="1"/>
    </xf>
    <xf numFmtId="0" fontId="9" fillId="0" borderId="13" xfId="6" applyFont="1" applyFill="1" applyBorder="1" applyAlignment="1" applyProtection="1">
      <protection hidden="1"/>
    </xf>
    <xf numFmtId="0" fontId="3" fillId="0" borderId="13" xfId="6" applyFill="1" applyBorder="1" applyAlignment="1" applyProtection="1">
      <protection hidden="1"/>
    </xf>
    <xf numFmtId="0" fontId="7" fillId="0" borderId="0" xfId="6" applyFont="1" applyFill="1" applyAlignment="1" applyProtection="1">
      <alignment horizontal="justify" vertical="top" wrapText="1"/>
      <protection hidden="1"/>
    </xf>
    <xf numFmtId="0" fontId="3" fillId="0" borderId="0" xfId="6" applyFill="1" applyAlignment="1" applyProtection="1">
      <alignment wrapText="1"/>
      <protection hidden="1"/>
    </xf>
    <xf numFmtId="0" fontId="4" fillId="0" borderId="0" xfId="6" applyFont="1" applyFill="1" applyAlignment="1" applyProtection="1">
      <alignment wrapText="1"/>
      <protection hidden="1"/>
    </xf>
  </cellXfs>
  <cellStyles count="10">
    <cellStyle name="Hyperlink" xfId="1" builtinId="8"/>
    <cellStyle name="Hyperlink 2" xfId="2" xr:uid="{00000000-0005-0000-0000-000001000000}"/>
    <cellStyle name="Hyperlink 3" xfId="8" xr:uid="{00000000-0005-0000-0000-000002000000}"/>
    <cellStyle name="Normal" xfId="0" builtinId="0"/>
    <cellStyle name="Normal 2" xfId="3" xr:uid="{00000000-0005-0000-0000-000004000000}"/>
    <cellStyle name="Normal 3" xfId="4" xr:uid="{00000000-0005-0000-0000-000005000000}"/>
    <cellStyle name="Normal 4" xfId="7" xr:uid="{00000000-0005-0000-0000-000006000000}"/>
    <cellStyle name="Normal 4 2" xfId="9" xr:uid="{A8A87337-3C58-414D-A061-CC93E7344DB8}"/>
    <cellStyle name="Normal_Business Valuation Model Excel" xfId="5" xr:uid="{00000000-0005-0000-0000-000007000000}"/>
    <cellStyle name="Normal_Business_Valuation_Model_Excel_21" xfId="6"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worksheet" Target="worksheets/sheet9.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chartsheet" Target="chartsheets/sheet3.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worksheet" Target="worksheets/sheet1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675" b="1" i="0" u="sng" strike="noStrike" baseline="0">
                <a:solidFill>
                  <a:srgbClr val="000000"/>
                </a:solidFill>
                <a:latin typeface="Arial"/>
                <a:ea typeface="Arial"/>
                <a:cs typeface="Arial"/>
              </a:defRPr>
            </a:pPr>
            <a:r>
              <a:rPr lang="en-AU"/>
              <a:t>Forecast Revenue</a:t>
            </a:r>
          </a:p>
        </c:rich>
      </c:tx>
      <c:layout>
        <c:manualLayout>
          <c:xMode val="edge"/>
          <c:yMode val="edge"/>
          <c:x val="0"/>
          <c:y val="1.6313345447203716E-3"/>
        </c:manualLayout>
      </c:layout>
      <c:overlay val="0"/>
      <c:spPr>
        <a:noFill/>
        <a:ln w="25400">
          <a:noFill/>
        </a:ln>
      </c:spPr>
    </c:title>
    <c:autoTitleDeleted val="0"/>
    <c:plotArea>
      <c:layout>
        <c:manualLayout>
          <c:layoutTarget val="inner"/>
          <c:xMode val="edge"/>
          <c:yMode val="edge"/>
          <c:x val="0.14539400665926749"/>
          <c:y val="0.1729200652528548"/>
          <c:w val="0.82463928967813782"/>
          <c:h val="0.57911908646003263"/>
        </c:manualLayout>
      </c:layout>
      <c:lineChart>
        <c:grouping val="standard"/>
        <c:varyColors val="0"/>
        <c:ser>
          <c:idx val="0"/>
          <c:order val="0"/>
          <c:tx>
            <c:strRef>
              <c:f>Worksheet!$J$4</c:f>
              <c:strCache>
                <c:ptCount val="1"/>
                <c:pt idx="0">
                  <c:v>Optimistic</c:v>
                </c:pt>
              </c:strCache>
            </c:strRef>
          </c:tx>
          <c:spPr>
            <a:ln w="38100">
              <a:solidFill>
                <a:srgbClr val="0000FF"/>
              </a:solidFill>
              <a:prstDash val="solid"/>
            </a:ln>
          </c:spPr>
          <c:marker>
            <c:symbol val="diamond"/>
            <c:size val="10"/>
            <c:spPr>
              <a:solidFill>
                <a:srgbClr val="0000FF"/>
              </a:solidFill>
              <a:ln>
                <a:solidFill>
                  <a:srgbClr val="0000FF"/>
                </a:solidFill>
                <a:prstDash val="solid"/>
              </a:ln>
            </c:spPr>
          </c:marker>
          <c:cat>
            <c:strRef>
              <c:f>Worksheet!$C$4:$F$4</c:f>
              <c:strCache>
                <c:ptCount val="4"/>
                <c:pt idx="0">
                  <c:v>Current Year</c:v>
                </c:pt>
                <c:pt idx="1">
                  <c:v>Year 1</c:v>
                </c:pt>
                <c:pt idx="2">
                  <c:v>Year 2</c:v>
                </c:pt>
                <c:pt idx="3">
                  <c:v>Year 3</c:v>
                </c:pt>
              </c:strCache>
            </c:strRef>
          </c:cat>
          <c:val>
            <c:numRef>
              <c:f>Worksheet!$K$5:$N$5</c:f>
              <c:numCache>
                <c:formatCode>#,##0</c:formatCode>
                <c:ptCount val="4"/>
                <c:pt idx="0">
                  <c:v>500000</c:v>
                </c:pt>
                <c:pt idx="1">
                  <c:v>579687.5</c:v>
                </c:pt>
                <c:pt idx="2">
                  <c:v>614468.75</c:v>
                </c:pt>
                <c:pt idx="3">
                  <c:v>660362.68153526972</c:v>
                </c:pt>
              </c:numCache>
            </c:numRef>
          </c:val>
          <c:smooth val="0"/>
          <c:extLst>
            <c:ext xmlns:c16="http://schemas.microsoft.com/office/drawing/2014/chart" uri="{C3380CC4-5D6E-409C-BE32-E72D297353CC}">
              <c16:uniqueId val="{00000000-68B8-413F-B888-F30A92D64346}"/>
            </c:ext>
          </c:extLst>
        </c:ser>
        <c:ser>
          <c:idx val="4"/>
          <c:order val="1"/>
          <c:tx>
            <c:strRef>
              <c:f>Worksheet!$B$4</c:f>
              <c:strCache>
                <c:ptCount val="1"/>
                <c:pt idx="0">
                  <c:v>Expected</c:v>
                </c:pt>
              </c:strCache>
            </c:strRef>
          </c:tx>
          <c:spPr>
            <a:ln w="38100">
              <a:solidFill>
                <a:srgbClr val="00FF00"/>
              </a:solidFill>
              <a:prstDash val="solid"/>
            </a:ln>
          </c:spPr>
          <c:marker>
            <c:symbol val="square"/>
            <c:size val="10"/>
            <c:spPr>
              <a:solidFill>
                <a:srgbClr val="00FF00"/>
              </a:solidFill>
              <a:ln>
                <a:solidFill>
                  <a:srgbClr val="00FF00"/>
                </a:solidFill>
                <a:prstDash val="solid"/>
              </a:ln>
            </c:spPr>
          </c:marker>
          <c:cat>
            <c:strRef>
              <c:f>Worksheet!$C$4:$F$4</c:f>
              <c:strCache>
                <c:ptCount val="4"/>
                <c:pt idx="0">
                  <c:v>Current Year</c:v>
                </c:pt>
                <c:pt idx="1">
                  <c:v>Year 1</c:v>
                </c:pt>
                <c:pt idx="2">
                  <c:v>Year 2</c:v>
                </c:pt>
                <c:pt idx="3">
                  <c:v>Year 3</c:v>
                </c:pt>
              </c:strCache>
            </c:strRef>
          </c:cat>
          <c:val>
            <c:numRef>
              <c:f>Worksheet!$C$5:$F$5</c:f>
              <c:numCache>
                <c:formatCode>#,##0</c:formatCode>
                <c:ptCount val="4"/>
                <c:pt idx="0">
                  <c:v>500000</c:v>
                </c:pt>
                <c:pt idx="1">
                  <c:v>560679.61165048543</c:v>
                </c:pt>
                <c:pt idx="2">
                  <c:v>588713.59223300975</c:v>
                </c:pt>
                <c:pt idx="3">
                  <c:v>625128.8659793816</c:v>
                </c:pt>
              </c:numCache>
            </c:numRef>
          </c:val>
          <c:smooth val="0"/>
          <c:extLst>
            <c:ext xmlns:c16="http://schemas.microsoft.com/office/drawing/2014/chart" uri="{C3380CC4-5D6E-409C-BE32-E72D297353CC}">
              <c16:uniqueId val="{00000001-68B8-413F-B888-F30A92D64346}"/>
            </c:ext>
          </c:extLst>
        </c:ser>
        <c:ser>
          <c:idx val="1"/>
          <c:order val="2"/>
          <c:tx>
            <c:strRef>
              <c:f>Worksheet!$Q$4</c:f>
              <c:strCache>
                <c:ptCount val="1"/>
                <c:pt idx="0">
                  <c:v>Pessimistic</c:v>
                </c:pt>
              </c:strCache>
            </c:strRef>
          </c:tx>
          <c:spPr>
            <a:ln w="38100">
              <a:solidFill>
                <a:srgbClr val="FF0000"/>
              </a:solidFill>
              <a:prstDash val="solid"/>
            </a:ln>
          </c:spPr>
          <c:marker>
            <c:symbol val="triangle"/>
            <c:size val="10"/>
            <c:spPr>
              <a:solidFill>
                <a:srgbClr val="FF0000"/>
              </a:solidFill>
              <a:ln>
                <a:solidFill>
                  <a:srgbClr val="FF0000"/>
                </a:solidFill>
                <a:prstDash val="solid"/>
              </a:ln>
            </c:spPr>
          </c:marker>
          <c:cat>
            <c:strRef>
              <c:f>Worksheet!$C$4:$F$4</c:f>
              <c:strCache>
                <c:ptCount val="4"/>
                <c:pt idx="0">
                  <c:v>Current Year</c:v>
                </c:pt>
                <c:pt idx="1">
                  <c:v>Year 1</c:v>
                </c:pt>
                <c:pt idx="2">
                  <c:v>Year 2</c:v>
                </c:pt>
                <c:pt idx="3">
                  <c:v>Year 3</c:v>
                </c:pt>
              </c:strCache>
            </c:strRef>
          </c:cat>
          <c:val>
            <c:numRef>
              <c:f>Worksheet!$R$5:$U$5</c:f>
              <c:numCache>
                <c:formatCode>#,##0</c:formatCode>
                <c:ptCount val="4"/>
                <c:pt idx="0">
                  <c:v>500000</c:v>
                </c:pt>
                <c:pt idx="1">
                  <c:v>542084.94208494201</c:v>
                </c:pt>
                <c:pt idx="2">
                  <c:v>563768.33976833976</c:v>
                </c:pt>
                <c:pt idx="3">
                  <c:v>591494.65156022529</c:v>
                </c:pt>
              </c:numCache>
            </c:numRef>
          </c:val>
          <c:smooth val="0"/>
          <c:extLst>
            <c:ext xmlns:c16="http://schemas.microsoft.com/office/drawing/2014/chart" uri="{C3380CC4-5D6E-409C-BE32-E72D297353CC}">
              <c16:uniqueId val="{00000002-68B8-413F-B888-F30A92D64346}"/>
            </c:ext>
          </c:extLst>
        </c:ser>
        <c:dLbls>
          <c:showLegendKey val="0"/>
          <c:showVal val="0"/>
          <c:showCatName val="0"/>
          <c:showSerName val="0"/>
          <c:showPercent val="0"/>
          <c:showBubbleSize val="0"/>
        </c:dLbls>
        <c:marker val="1"/>
        <c:smooth val="0"/>
        <c:axId val="229794304"/>
        <c:axId val="201649536"/>
      </c:lineChart>
      <c:catAx>
        <c:axId val="229794304"/>
        <c:scaling>
          <c:orientation val="minMax"/>
        </c:scaling>
        <c:delete val="0"/>
        <c:axPos val="b"/>
        <c:title>
          <c:tx>
            <c:rich>
              <a:bodyPr/>
              <a:lstStyle/>
              <a:p>
                <a:pPr>
                  <a:defRPr sz="1500" b="1" i="0" u="none" strike="noStrike" baseline="0">
                    <a:solidFill>
                      <a:srgbClr val="000000"/>
                    </a:solidFill>
                    <a:latin typeface="Arial"/>
                    <a:ea typeface="Arial"/>
                    <a:cs typeface="Arial"/>
                  </a:defRPr>
                </a:pPr>
                <a:r>
                  <a:rPr lang="en-AU"/>
                  <a:t>Year</a:t>
                </a:r>
              </a:p>
            </c:rich>
          </c:tx>
          <c:layout>
            <c:manualLayout>
              <c:xMode val="edge"/>
              <c:yMode val="edge"/>
              <c:x val="0.53052169368706548"/>
              <c:y val="0.895595448277639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201649536"/>
        <c:crosses val="autoZero"/>
        <c:auto val="1"/>
        <c:lblAlgn val="ctr"/>
        <c:lblOffset val="100"/>
        <c:tickMarkSkip val="1"/>
        <c:noMultiLvlLbl val="0"/>
      </c:catAx>
      <c:valAx>
        <c:axId val="201649536"/>
        <c:scaling>
          <c:orientation val="minMax"/>
        </c:scaling>
        <c:delete val="0"/>
        <c:axPos val="l"/>
        <c:majorGridlines>
          <c:spPr>
            <a:ln w="3175">
              <a:solidFill>
                <a:srgbClr val="000000"/>
              </a:solidFill>
              <a:prstDash val="solid"/>
            </a:ln>
          </c:spPr>
        </c:majorGridlines>
        <c:title>
          <c:tx>
            <c:rich>
              <a:bodyPr/>
              <a:lstStyle/>
              <a:p>
                <a:pPr>
                  <a:defRPr sz="1500" b="1" i="0" u="none" strike="noStrike" baseline="0">
                    <a:solidFill>
                      <a:srgbClr val="000000"/>
                    </a:solidFill>
                    <a:latin typeface="Arial"/>
                    <a:ea typeface="Arial"/>
                    <a:cs typeface="Arial"/>
                  </a:defRPr>
                </a:pPr>
                <a:r>
                  <a:rPr lang="en-AU"/>
                  <a:t>Revenue</a:t>
                </a:r>
              </a:p>
            </c:rich>
          </c:tx>
          <c:layout>
            <c:manualLayout>
              <c:xMode val="edge"/>
              <c:yMode val="edge"/>
              <c:x val="0"/>
              <c:y val="0.3898858632850926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229794304"/>
        <c:crosses val="autoZero"/>
        <c:crossBetween val="between"/>
      </c:valAx>
      <c:dTable>
        <c:showHorzBorder val="1"/>
        <c:showVertBorder val="1"/>
        <c:showOutline val="1"/>
        <c:showKeys val="1"/>
        <c:spPr>
          <a:ln w="3175">
            <a:solidFill>
              <a:srgbClr val="000000"/>
            </a:solidFill>
            <a:prstDash val="solid"/>
          </a:ln>
        </c:spPr>
        <c:txPr>
          <a:bodyPr/>
          <a:lstStyle/>
          <a:p>
            <a:pPr rtl="0">
              <a:defRPr sz="925"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675" b="1" i="0" u="sng" strike="noStrike" baseline="0">
                <a:solidFill>
                  <a:srgbClr val="000000"/>
                </a:solidFill>
                <a:latin typeface="Arial"/>
                <a:ea typeface="Arial"/>
                <a:cs typeface="Arial"/>
              </a:defRPr>
            </a:pPr>
            <a:r>
              <a:rPr lang="en-AU"/>
              <a:t>Forecast Return</a:t>
            </a:r>
          </a:p>
        </c:rich>
      </c:tx>
      <c:layout>
        <c:manualLayout>
          <c:xMode val="edge"/>
          <c:yMode val="edge"/>
          <c:x val="2.2197892671647411E-3"/>
          <c:y val="1.6313345447203716E-3"/>
        </c:manualLayout>
      </c:layout>
      <c:overlay val="0"/>
      <c:spPr>
        <a:noFill/>
        <a:ln w="25400">
          <a:noFill/>
        </a:ln>
      </c:spPr>
    </c:title>
    <c:autoTitleDeleted val="0"/>
    <c:plotArea>
      <c:layout>
        <c:manualLayout>
          <c:layoutTarget val="inner"/>
          <c:xMode val="edge"/>
          <c:yMode val="edge"/>
          <c:x val="0.15094339622641612"/>
          <c:y val="0.14681892332789617"/>
          <c:w val="0.82796892341842465"/>
          <c:h val="0.60358890701468193"/>
        </c:manualLayout>
      </c:layout>
      <c:lineChart>
        <c:grouping val="standard"/>
        <c:varyColors val="0"/>
        <c:ser>
          <c:idx val="2"/>
          <c:order val="0"/>
          <c:tx>
            <c:strRef>
              <c:f>Worksheet!$B$4</c:f>
              <c:strCache>
                <c:ptCount val="1"/>
                <c:pt idx="0">
                  <c:v>Expected</c:v>
                </c:pt>
              </c:strCache>
            </c:strRef>
          </c:tx>
          <c:spPr>
            <a:ln w="38100">
              <a:solidFill>
                <a:srgbClr val="00FF00"/>
              </a:solidFill>
              <a:prstDash val="solid"/>
            </a:ln>
          </c:spPr>
          <c:marker>
            <c:symbol val="triangle"/>
            <c:size val="10"/>
            <c:spPr>
              <a:solidFill>
                <a:srgbClr val="00FF00"/>
              </a:solidFill>
              <a:ln>
                <a:solidFill>
                  <a:srgbClr val="00FF00"/>
                </a:solidFill>
                <a:prstDash val="solid"/>
              </a:ln>
            </c:spPr>
          </c:marker>
          <c:cat>
            <c:strRef>
              <c:f>Worksheet!$C$4:$F$4</c:f>
              <c:strCache>
                <c:ptCount val="4"/>
                <c:pt idx="0">
                  <c:v>Current Year</c:v>
                </c:pt>
                <c:pt idx="1">
                  <c:v>Year 1</c:v>
                </c:pt>
                <c:pt idx="2">
                  <c:v>Year 2</c:v>
                </c:pt>
                <c:pt idx="3">
                  <c:v>Year 3</c:v>
                </c:pt>
              </c:strCache>
            </c:strRef>
          </c:cat>
          <c:val>
            <c:numRef>
              <c:f>Worksheet!$C$97:$F$97</c:f>
              <c:numCache>
                <c:formatCode>#,##0</c:formatCode>
                <c:ptCount val="4"/>
                <c:pt idx="0">
                  <c:v>47500</c:v>
                </c:pt>
                <c:pt idx="1">
                  <c:v>75815.374917523004</c:v>
                </c:pt>
                <c:pt idx="2">
                  <c:v>93115.130726270116</c:v>
                </c:pt>
                <c:pt idx="3">
                  <c:v>92089.819138169667</c:v>
                </c:pt>
              </c:numCache>
            </c:numRef>
          </c:val>
          <c:smooth val="0"/>
          <c:extLst>
            <c:ext xmlns:c16="http://schemas.microsoft.com/office/drawing/2014/chart" uri="{C3380CC4-5D6E-409C-BE32-E72D297353CC}">
              <c16:uniqueId val="{00000000-6E65-40E7-B98A-B3169370B4CF}"/>
            </c:ext>
          </c:extLst>
        </c:ser>
        <c:ser>
          <c:idx val="3"/>
          <c:order val="1"/>
          <c:tx>
            <c:strRef>
              <c:f>Worksheet!$J$4</c:f>
              <c:strCache>
                <c:ptCount val="1"/>
                <c:pt idx="0">
                  <c:v>Optimistic</c:v>
                </c:pt>
              </c:strCache>
            </c:strRef>
          </c:tx>
          <c:spPr>
            <a:ln w="38100">
              <a:solidFill>
                <a:srgbClr val="0000FF"/>
              </a:solidFill>
              <a:prstDash val="solid"/>
            </a:ln>
          </c:spPr>
          <c:marker>
            <c:symbol val="diamond"/>
            <c:size val="10"/>
            <c:spPr>
              <a:solidFill>
                <a:srgbClr val="0000FF"/>
              </a:solidFill>
              <a:ln>
                <a:solidFill>
                  <a:srgbClr val="0000FF"/>
                </a:solidFill>
                <a:prstDash val="solid"/>
              </a:ln>
            </c:spPr>
          </c:marker>
          <c:cat>
            <c:strRef>
              <c:f>Worksheet!$C$4:$F$4</c:f>
              <c:strCache>
                <c:ptCount val="4"/>
                <c:pt idx="0">
                  <c:v>Current Year</c:v>
                </c:pt>
                <c:pt idx="1">
                  <c:v>Year 1</c:v>
                </c:pt>
                <c:pt idx="2">
                  <c:v>Year 2</c:v>
                </c:pt>
                <c:pt idx="3">
                  <c:v>Year 3</c:v>
                </c:pt>
              </c:strCache>
            </c:strRef>
          </c:cat>
          <c:val>
            <c:numRef>
              <c:f>Worksheet!$K$97:$N$97</c:f>
              <c:numCache>
                <c:formatCode>#,##0</c:formatCode>
                <c:ptCount val="4"/>
                <c:pt idx="0">
                  <c:v>47500</c:v>
                </c:pt>
                <c:pt idx="1">
                  <c:v>84032.991976351303</c:v>
                </c:pt>
                <c:pt idx="2">
                  <c:v>109765.7137319204</c:v>
                </c:pt>
                <c:pt idx="3">
                  <c:v>117238.10536590256</c:v>
                </c:pt>
              </c:numCache>
            </c:numRef>
          </c:val>
          <c:smooth val="0"/>
          <c:extLst>
            <c:ext xmlns:c16="http://schemas.microsoft.com/office/drawing/2014/chart" uri="{C3380CC4-5D6E-409C-BE32-E72D297353CC}">
              <c16:uniqueId val="{00000001-6E65-40E7-B98A-B3169370B4CF}"/>
            </c:ext>
          </c:extLst>
        </c:ser>
        <c:ser>
          <c:idx val="5"/>
          <c:order val="2"/>
          <c:tx>
            <c:strRef>
              <c:f>Worksheet!$Q$4</c:f>
              <c:strCache>
                <c:ptCount val="1"/>
                <c:pt idx="0">
                  <c:v>Pessimistic</c:v>
                </c:pt>
              </c:strCache>
            </c:strRef>
          </c:tx>
          <c:spPr>
            <a:ln w="38100">
              <a:solidFill>
                <a:srgbClr val="FF0000"/>
              </a:solidFill>
              <a:prstDash val="solid"/>
            </a:ln>
          </c:spPr>
          <c:marker>
            <c:symbol val="triangle"/>
            <c:size val="10"/>
            <c:spPr>
              <a:solidFill>
                <a:srgbClr val="FF0000"/>
              </a:solidFill>
              <a:ln>
                <a:solidFill>
                  <a:srgbClr val="FF0000"/>
                </a:solidFill>
                <a:prstDash val="solid"/>
              </a:ln>
            </c:spPr>
          </c:marker>
          <c:cat>
            <c:strRef>
              <c:f>Worksheet!$C$4:$F$4</c:f>
              <c:strCache>
                <c:ptCount val="4"/>
                <c:pt idx="0">
                  <c:v>Current Year</c:v>
                </c:pt>
                <c:pt idx="1">
                  <c:v>Year 1</c:v>
                </c:pt>
                <c:pt idx="2">
                  <c:v>Year 2</c:v>
                </c:pt>
                <c:pt idx="3">
                  <c:v>Year 3</c:v>
                </c:pt>
              </c:strCache>
            </c:strRef>
          </c:cat>
          <c:val>
            <c:numRef>
              <c:f>Worksheet!$R$97:$U$97</c:f>
              <c:numCache>
                <c:formatCode>#,##0</c:formatCode>
                <c:ptCount val="4"/>
                <c:pt idx="0">
                  <c:v>47500</c:v>
                </c:pt>
                <c:pt idx="1">
                  <c:v>67841.517857142782</c:v>
                </c:pt>
                <c:pt idx="2">
                  <c:v>77169.659516272426</c:v>
                </c:pt>
                <c:pt idx="3">
                  <c:v>68314.286741426651</c:v>
                </c:pt>
              </c:numCache>
            </c:numRef>
          </c:val>
          <c:smooth val="0"/>
          <c:extLst>
            <c:ext xmlns:c16="http://schemas.microsoft.com/office/drawing/2014/chart" uri="{C3380CC4-5D6E-409C-BE32-E72D297353CC}">
              <c16:uniqueId val="{00000002-6E65-40E7-B98A-B3169370B4CF}"/>
            </c:ext>
          </c:extLst>
        </c:ser>
        <c:dLbls>
          <c:showLegendKey val="0"/>
          <c:showVal val="0"/>
          <c:showCatName val="0"/>
          <c:showSerName val="0"/>
          <c:showPercent val="0"/>
          <c:showBubbleSize val="0"/>
        </c:dLbls>
        <c:marker val="1"/>
        <c:smooth val="0"/>
        <c:axId val="230266880"/>
        <c:axId val="201652416"/>
      </c:lineChart>
      <c:catAx>
        <c:axId val="230266880"/>
        <c:scaling>
          <c:orientation val="minMax"/>
        </c:scaling>
        <c:delete val="0"/>
        <c:axPos val="b"/>
        <c:title>
          <c:tx>
            <c:rich>
              <a:bodyPr/>
              <a:lstStyle/>
              <a:p>
                <a:pPr>
                  <a:defRPr sz="1500" b="1" i="0" u="none" strike="noStrike" baseline="0">
                    <a:solidFill>
                      <a:srgbClr val="000000"/>
                    </a:solidFill>
                    <a:latin typeface="Arial"/>
                    <a:ea typeface="Arial"/>
                    <a:cs typeface="Arial"/>
                  </a:defRPr>
                </a:pPr>
                <a:r>
                  <a:rPr lang="en-AU"/>
                  <a:t>Year</a:t>
                </a:r>
              </a:p>
            </c:rich>
          </c:tx>
          <c:layout>
            <c:manualLayout>
              <c:xMode val="edge"/>
              <c:yMode val="edge"/>
              <c:x val="0.53829083934029942"/>
              <c:y val="0.893964113732919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201652416"/>
        <c:crosses val="autoZero"/>
        <c:auto val="1"/>
        <c:lblAlgn val="ctr"/>
        <c:lblOffset val="100"/>
        <c:tickMarkSkip val="1"/>
        <c:noMultiLvlLbl val="0"/>
      </c:catAx>
      <c:valAx>
        <c:axId val="201652416"/>
        <c:scaling>
          <c:orientation val="minMax"/>
        </c:scaling>
        <c:delete val="0"/>
        <c:axPos val="l"/>
        <c:majorGridlines>
          <c:spPr>
            <a:ln w="3175">
              <a:solidFill>
                <a:srgbClr val="000000"/>
              </a:solidFill>
              <a:prstDash val="solid"/>
            </a:ln>
          </c:spPr>
        </c:majorGridlines>
        <c:title>
          <c:tx>
            <c:rich>
              <a:bodyPr/>
              <a:lstStyle/>
              <a:p>
                <a:pPr>
                  <a:defRPr sz="1500" b="1" i="0" u="none" strike="noStrike" baseline="0">
                    <a:solidFill>
                      <a:srgbClr val="000000"/>
                    </a:solidFill>
                    <a:latin typeface="Arial"/>
                    <a:ea typeface="Arial"/>
                    <a:cs typeface="Arial"/>
                  </a:defRPr>
                </a:pPr>
                <a:r>
                  <a:rPr lang="en-AU"/>
                  <a:t>Return</a:t>
                </a:r>
              </a:p>
            </c:rich>
          </c:tx>
          <c:layout>
            <c:manualLayout>
              <c:xMode val="edge"/>
              <c:yMode val="edge"/>
              <c:x val="0"/>
              <c:y val="0.391517197829812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230266880"/>
        <c:crosses val="autoZero"/>
        <c:crossBetween val="between"/>
      </c:valAx>
      <c:dTable>
        <c:showHorzBorder val="1"/>
        <c:showVertBorder val="1"/>
        <c:showOutline val="1"/>
        <c:showKeys val="1"/>
        <c:spPr>
          <a:ln w="3175">
            <a:solidFill>
              <a:srgbClr val="000000"/>
            </a:solidFill>
            <a:prstDash val="solid"/>
          </a:ln>
        </c:spPr>
        <c:txPr>
          <a:bodyPr/>
          <a:lstStyle/>
          <a:p>
            <a:pPr rtl="0">
              <a:defRPr sz="925"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675" b="1" i="0" u="sng" strike="noStrike" baseline="0">
                <a:solidFill>
                  <a:srgbClr val="000000"/>
                </a:solidFill>
                <a:latin typeface="Arial"/>
                <a:ea typeface="Arial"/>
                <a:cs typeface="Arial"/>
              </a:defRPr>
            </a:pPr>
            <a:r>
              <a:rPr lang="en-AU"/>
              <a:t>Operating Surplus Expected</a:t>
            </a:r>
          </a:p>
        </c:rich>
      </c:tx>
      <c:layout>
        <c:manualLayout>
          <c:xMode val="edge"/>
          <c:yMode val="edge"/>
          <c:x val="0"/>
          <c:y val="1.6313345447203716E-3"/>
        </c:manualLayout>
      </c:layout>
      <c:overlay val="0"/>
      <c:spPr>
        <a:noFill/>
        <a:ln w="25400">
          <a:noFill/>
        </a:ln>
      </c:spPr>
    </c:title>
    <c:autoTitleDeleted val="0"/>
    <c:plotArea>
      <c:layout>
        <c:manualLayout>
          <c:layoutTarget val="inner"/>
          <c:xMode val="edge"/>
          <c:yMode val="edge"/>
          <c:x val="0.18091009988901308"/>
          <c:y val="0.14681892332789617"/>
          <c:w val="0.79800221975582686"/>
          <c:h val="0.60358890701468193"/>
        </c:manualLayout>
      </c:layout>
      <c:areaChart>
        <c:grouping val="stacked"/>
        <c:varyColors val="0"/>
        <c:ser>
          <c:idx val="2"/>
          <c:order val="0"/>
          <c:tx>
            <c:strRef>
              <c:f>Worksheet!$B$38</c:f>
              <c:strCache>
                <c:ptCount val="1"/>
                <c:pt idx="0">
                  <c:v>Total Fixed Costs</c:v>
                </c:pt>
              </c:strCache>
            </c:strRef>
          </c:tx>
          <c:spPr>
            <a:solidFill>
              <a:srgbClr val="FF0000"/>
            </a:solidFill>
            <a:ln w="12700">
              <a:solidFill>
                <a:srgbClr val="FF0000"/>
              </a:solidFill>
              <a:prstDash val="solid"/>
            </a:ln>
          </c:spPr>
          <c:cat>
            <c:strRef>
              <c:f>Worksheet!$C$4:$F$4</c:f>
              <c:strCache>
                <c:ptCount val="4"/>
                <c:pt idx="0">
                  <c:v>Current Year</c:v>
                </c:pt>
                <c:pt idx="1">
                  <c:v>Year 1</c:v>
                </c:pt>
                <c:pt idx="2">
                  <c:v>Year 2</c:v>
                </c:pt>
                <c:pt idx="3">
                  <c:v>Year 3</c:v>
                </c:pt>
              </c:strCache>
            </c:strRef>
          </c:cat>
          <c:val>
            <c:numRef>
              <c:f>Worksheet!$C$38:$F$38</c:f>
              <c:numCache>
                <c:formatCode>#,##0</c:formatCode>
                <c:ptCount val="4"/>
                <c:pt idx="0">
                  <c:v>130000</c:v>
                </c:pt>
                <c:pt idx="1">
                  <c:v>133944.17475728155</c:v>
                </c:pt>
                <c:pt idx="2">
                  <c:v>135766.38349514565</c:v>
                </c:pt>
                <c:pt idx="3">
                  <c:v>136645.19080828209</c:v>
                </c:pt>
              </c:numCache>
            </c:numRef>
          </c:val>
          <c:extLst>
            <c:ext xmlns:c16="http://schemas.microsoft.com/office/drawing/2014/chart" uri="{C3380CC4-5D6E-409C-BE32-E72D297353CC}">
              <c16:uniqueId val="{00000000-C658-4A27-BC1D-A63980AFDDD3}"/>
            </c:ext>
          </c:extLst>
        </c:ser>
        <c:ser>
          <c:idx val="1"/>
          <c:order val="1"/>
          <c:tx>
            <c:strRef>
              <c:f>Worksheet!$B$20</c:f>
              <c:strCache>
                <c:ptCount val="1"/>
                <c:pt idx="0">
                  <c:v>Total Variable Costs</c:v>
                </c:pt>
              </c:strCache>
            </c:strRef>
          </c:tx>
          <c:spPr>
            <a:solidFill>
              <a:srgbClr val="0000FF"/>
            </a:solidFill>
            <a:ln w="12700">
              <a:solidFill>
                <a:srgbClr val="0000FF"/>
              </a:solidFill>
              <a:prstDash val="solid"/>
            </a:ln>
          </c:spPr>
          <c:cat>
            <c:strRef>
              <c:f>Worksheet!$C$4:$F$4</c:f>
              <c:strCache>
                <c:ptCount val="4"/>
                <c:pt idx="0">
                  <c:v>Current Year</c:v>
                </c:pt>
                <c:pt idx="1">
                  <c:v>Year 1</c:v>
                </c:pt>
                <c:pt idx="2">
                  <c:v>Year 2</c:v>
                </c:pt>
                <c:pt idx="3">
                  <c:v>Year 3</c:v>
                </c:pt>
              </c:strCache>
            </c:strRef>
          </c:cat>
          <c:val>
            <c:numRef>
              <c:f>Worksheet!$C$20:$F$20</c:f>
              <c:numCache>
                <c:formatCode>#,##0</c:formatCode>
                <c:ptCount val="4"/>
                <c:pt idx="0">
                  <c:v>310000</c:v>
                </c:pt>
                <c:pt idx="1">
                  <c:v>338040.81440286536</c:v>
                </c:pt>
                <c:pt idx="2">
                  <c:v>346777.61806013767</c:v>
                </c:pt>
                <c:pt idx="3">
                  <c:v>383111.80062055867</c:v>
                </c:pt>
              </c:numCache>
            </c:numRef>
          </c:val>
          <c:extLst>
            <c:ext xmlns:c16="http://schemas.microsoft.com/office/drawing/2014/chart" uri="{C3380CC4-5D6E-409C-BE32-E72D297353CC}">
              <c16:uniqueId val="{00000001-C658-4A27-BC1D-A63980AFDDD3}"/>
            </c:ext>
          </c:extLst>
        </c:ser>
        <c:ser>
          <c:idx val="0"/>
          <c:order val="2"/>
          <c:tx>
            <c:strRef>
              <c:f>Worksheet!$B$43</c:f>
              <c:strCache>
                <c:ptCount val="1"/>
                <c:pt idx="0">
                  <c:v>Operating Surplus</c:v>
                </c:pt>
              </c:strCache>
            </c:strRef>
          </c:tx>
          <c:spPr>
            <a:solidFill>
              <a:srgbClr val="00FF00"/>
            </a:solidFill>
            <a:ln w="12700">
              <a:solidFill>
                <a:srgbClr val="00FF00"/>
              </a:solidFill>
              <a:prstDash val="solid"/>
            </a:ln>
          </c:spPr>
          <c:cat>
            <c:strRef>
              <c:f>Worksheet!$C$4:$F$4</c:f>
              <c:strCache>
                <c:ptCount val="4"/>
                <c:pt idx="0">
                  <c:v>Current Year</c:v>
                </c:pt>
                <c:pt idx="1">
                  <c:v>Year 1</c:v>
                </c:pt>
                <c:pt idx="2">
                  <c:v>Year 2</c:v>
                </c:pt>
                <c:pt idx="3">
                  <c:v>Year 3</c:v>
                </c:pt>
              </c:strCache>
            </c:strRef>
          </c:cat>
          <c:val>
            <c:numRef>
              <c:f>Worksheet!$C$43:$F$43</c:f>
              <c:numCache>
                <c:formatCode>#,##0</c:formatCode>
                <c:ptCount val="4"/>
                <c:pt idx="0">
                  <c:v>60000</c:v>
                </c:pt>
                <c:pt idx="1">
                  <c:v>88694.622490338515</c:v>
                </c:pt>
                <c:pt idx="2">
                  <c:v>106169.59067772643</c:v>
                </c:pt>
                <c:pt idx="3">
                  <c:v>105371.87455054082</c:v>
                </c:pt>
              </c:numCache>
            </c:numRef>
          </c:val>
          <c:extLst>
            <c:ext xmlns:c16="http://schemas.microsoft.com/office/drawing/2014/chart" uri="{C3380CC4-5D6E-409C-BE32-E72D297353CC}">
              <c16:uniqueId val="{00000002-C658-4A27-BC1D-A63980AFDDD3}"/>
            </c:ext>
          </c:extLst>
        </c:ser>
        <c:dLbls>
          <c:showLegendKey val="0"/>
          <c:showVal val="0"/>
          <c:showCatName val="0"/>
          <c:showSerName val="0"/>
          <c:showPercent val="0"/>
          <c:showBubbleSize val="0"/>
        </c:dLbls>
        <c:axId val="230221312"/>
        <c:axId val="202417280"/>
      </c:areaChart>
      <c:catAx>
        <c:axId val="230221312"/>
        <c:scaling>
          <c:orientation val="minMax"/>
        </c:scaling>
        <c:delete val="0"/>
        <c:axPos val="b"/>
        <c:title>
          <c:tx>
            <c:rich>
              <a:bodyPr/>
              <a:lstStyle/>
              <a:p>
                <a:pPr>
                  <a:defRPr sz="1500" b="1" i="0" u="none" strike="noStrike" baseline="0">
                    <a:solidFill>
                      <a:srgbClr val="000000"/>
                    </a:solidFill>
                    <a:latin typeface="Arial"/>
                    <a:ea typeface="Arial"/>
                    <a:cs typeface="Arial"/>
                  </a:defRPr>
                </a:pPr>
                <a:r>
                  <a:rPr lang="en-AU"/>
                  <a:t>Year</a:t>
                </a:r>
              </a:p>
            </c:rich>
          </c:tx>
          <c:layout>
            <c:manualLayout>
              <c:xMode val="edge"/>
              <c:yMode val="edge"/>
              <c:x val="0.55271923601318462"/>
              <c:y val="0.893964113732919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a:ea typeface="Arial"/>
                <a:cs typeface="Arial"/>
              </a:defRPr>
            </a:pPr>
            <a:endParaRPr lang="en-US"/>
          </a:p>
        </c:txPr>
        <c:crossAx val="202417280"/>
        <c:crosses val="autoZero"/>
        <c:auto val="1"/>
        <c:lblAlgn val="ctr"/>
        <c:lblOffset val="100"/>
        <c:tickMarkSkip val="1"/>
        <c:noMultiLvlLbl val="0"/>
      </c:catAx>
      <c:valAx>
        <c:axId val="202417280"/>
        <c:scaling>
          <c:orientation val="minMax"/>
        </c:scaling>
        <c:delete val="0"/>
        <c:axPos val="l"/>
        <c:majorGridlines>
          <c:spPr>
            <a:ln w="3175">
              <a:solidFill>
                <a:srgbClr val="000000"/>
              </a:solidFill>
              <a:prstDash val="solid"/>
            </a:ln>
          </c:spPr>
        </c:majorGridlines>
        <c:title>
          <c:tx>
            <c:rich>
              <a:bodyPr/>
              <a:lstStyle/>
              <a:p>
                <a:pPr>
                  <a:defRPr sz="1500" b="1" i="0" u="none" strike="noStrike" baseline="0">
                    <a:solidFill>
                      <a:srgbClr val="000000"/>
                    </a:solidFill>
                    <a:latin typeface="Arial"/>
                    <a:ea typeface="Arial"/>
                    <a:cs typeface="Arial"/>
                  </a:defRPr>
                </a:pPr>
                <a:r>
                  <a:rPr lang="en-AU"/>
                  <a:t>Operating Surplus &amp; Costs</a:t>
                </a:r>
              </a:p>
            </c:rich>
          </c:tx>
          <c:layout>
            <c:manualLayout>
              <c:xMode val="edge"/>
              <c:yMode val="edge"/>
              <c:x val="0"/>
              <c:y val="0.23654161887701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230221312"/>
        <c:crosses val="autoZero"/>
        <c:crossBetween val="midCat"/>
      </c:valAx>
      <c:dTable>
        <c:showHorzBorder val="1"/>
        <c:showVertBorder val="1"/>
        <c:showOutline val="1"/>
        <c:showKeys val="1"/>
        <c:spPr>
          <a:ln w="3175">
            <a:solidFill>
              <a:srgbClr val="000000"/>
            </a:solidFill>
            <a:prstDash val="solid"/>
          </a:ln>
        </c:spPr>
        <c:txPr>
          <a:bodyPr/>
          <a:lstStyle/>
          <a:p>
            <a:pPr rtl="0">
              <a:defRPr sz="925"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675" b="1" i="0" u="sng" strike="noStrike" baseline="0">
                <a:solidFill>
                  <a:srgbClr val="000000"/>
                </a:solidFill>
                <a:latin typeface="Arial"/>
                <a:ea typeface="Arial"/>
                <a:cs typeface="Arial"/>
              </a:defRPr>
            </a:pPr>
            <a:r>
              <a:rPr lang="en-AU"/>
              <a:t>Surplus &amp; Return % Expected</a:t>
            </a:r>
          </a:p>
        </c:rich>
      </c:tx>
      <c:layout>
        <c:manualLayout>
          <c:xMode val="edge"/>
          <c:yMode val="edge"/>
          <c:x val="3.3296839007471123E-3"/>
          <c:y val="1.6313345447203716E-3"/>
        </c:manualLayout>
      </c:layout>
      <c:overlay val="0"/>
      <c:spPr>
        <a:noFill/>
        <a:ln w="25400">
          <a:noFill/>
        </a:ln>
      </c:spPr>
    </c:title>
    <c:autoTitleDeleted val="0"/>
    <c:plotArea>
      <c:layout>
        <c:manualLayout>
          <c:layoutTarget val="inner"/>
          <c:xMode val="edge"/>
          <c:yMode val="edge"/>
          <c:x val="0.2752497225305206"/>
          <c:y val="0.14681892332789617"/>
          <c:w val="0.70366259711431745"/>
          <c:h val="0.58727569331158491"/>
        </c:manualLayout>
      </c:layout>
      <c:lineChart>
        <c:grouping val="standard"/>
        <c:varyColors val="0"/>
        <c:ser>
          <c:idx val="1"/>
          <c:order val="0"/>
          <c:tx>
            <c:strRef>
              <c:f>Worksheet!$B$44</c:f>
              <c:strCache>
                <c:ptCount val="1"/>
                <c:pt idx="0">
                  <c:v>Operating Surplus %</c:v>
                </c:pt>
              </c:strCache>
            </c:strRef>
          </c:tx>
          <c:spPr>
            <a:ln w="38100">
              <a:solidFill>
                <a:srgbClr val="00FF00"/>
              </a:solidFill>
              <a:prstDash val="solid"/>
            </a:ln>
          </c:spPr>
          <c:marker>
            <c:symbol val="square"/>
            <c:size val="12"/>
            <c:spPr>
              <a:solidFill>
                <a:srgbClr val="00FF00"/>
              </a:solidFill>
              <a:ln>
                <a:solidFill>
                  <a:srgbClr val="00FF00"/>
                </a:solidFill>
                <a:prstDash val="solid"/>
              </a:ln>
            </c:spPr>
          </c:marker>
          <c:cat>
            <c:strRef>
              <c:f>Worksheet!$C$4:$F$4</c:f>
              <c:strCache>
                <c:ptCount val="4"/>
                <c:pt idx="0">
                  <c:v>Current Year</c:v>
                </c:pt>
                <c:pt idx="1">
                  <c:v>Year 1</c:v>
                </c:pt>
                <c:pt idx="2">
                  <c:v>Year 2</c:v>
                </c:pt>
                <c:pt idx="3">
                  <c:v>Year 3</c:v>
                </c:pt>
              </c:strCache>
            </c:strRef>
          </c:cat>
          <c:val>
            <c:numRef>
              <c:f>Worksheet!$C$44:$F$44</c:f>
              <c:numCache>
                <c:formatCode>0.0%</c:formatCode>
                <c:ptCount val="4"/>
                <c:pt idx="0">
                  <c:v>0.12</c:v>
                </c:pt>
                <c:pt idx="1">
                  <c:v>0.15819127474467304</c:v>
                </c:pt>
                <c:pt idx="2">
                  <c:v>0.18034166711697913</c:v>
                </c:pt>
                <c:pt idx="3">
                  <c:v>0.16856024459125882</c:v>
                </c:pt>
              </c:numCache>
            </c:numRef>
          </c:val>
          <c:smooth val="0"/>
          <c:extLst>
            <c:ext xmlns:c16="http://schemas.microsoft.com/office/drawing/2014/chart" uri="{C3380CC4-5D6E-409C-BE32-E72D297353CC}">
              <c16:uniqueId val="{00000000-4462-4790-B3AE-08DD48DB32EE}"/>
            </c:ext>
          </c:extLst>
        </c:ser>
        <c:ser>
          <c:idx val="0"/>
          <c:order val="1"/>
          <c:tx>
            <c:strRef>
              <c:f>Worksheet!$B$98</c:f>
              <c:strCache>
                <c:ptCount val="1"/>
                <c:pt idx="0">
                  <c:v>Return on Sales</c:v>
                </c:pt>
              </c:strCache>
            </c:strRef>
          </c:tx>
          <c:spPr>
            <a:ln w="38100">
              <a:solidFill>
                <a:srgbClr val="0000FF"/>
              </a:solidFill>
              <a:prstDash val="solid"/>
            </a:ln>
          </c:spPr>
          <c:marker>
            <c:symbol val="diamond"/>
            <c:size val="10"/>
            <c:spPr>
              <a:solidFill>
                <a:srgbClr val="0000FF"/>
              </a:solidFill>
              <a:ln>
                <a:solidFill>
                  <a:srgbClr val="0000FF"/>
                </a:solidFill>
                <a:prstDash val="solid"/>
              </a:ln>
            </c:spPr>
          </c:marker>
          <c:cat>
            <c:strRef>
              <c:f>Worksheet!$C$4:$F$4</c:f>
              <c:strCache>
                <c:ptCount val="4"/>
                <c:pt idx="0">
                  <c:v>Current Year</c:v>
                </c:pt>
                <c:pt idx="1">
                  <c:v>Year 1</c:v>
                </c:pt>
                <c:pt idx="2">
                  <c:v>Year 2</c:v>
                </c:pt>
                <c:pt idx="3">
                  <c:v>Year 3</c:v>
                </c:pt>
              </c:strCache>
            </c:strRef>
          </c:cat>
          <c:val>
            <c:numRef>
              <c:f>Worksheet!$C$98:$F$98</c:f>
              <c:numCache>
                <c:formatCode>0.0%</c:formatCode>
                <c:ptCount val="4"/>
                <c:pt idx="0">
                  <c:v>9.5000000000000001E-2</c:v>
                </c:pt>
                <c:pt idx="1">
                  <c:v>0.13522049552389384</c:v>
                </c:pt>
                <c:pt idx="2">
                  <c:v>0.15816711547814177</c:v>
                </c:pt>
                <c:pt idx="3">
                  <c:v>0.14731333673720809</c:v>
                </c:pt>
              </c:numCache>
            </c:numRef>
          </c:val>
          <c:smooth val="0"/>
          <c:extLst>
            <c:ext xmlns:c16="http://schemas.microsoft.com/office/drawing/2014/chart" uri="{C3380CC4-5D6E-409C-BE32-E72D297353CC}">
              <c16:uniqueId val="{00000001-4462-4790-B3AE-08DD48DB32EE}"/>
            </c:ext>
          </c:extLst>
        </c:ser>
        <c:ser>
          <c:idx val="3"/>
          <c:order val="2"/>
          <c:tx>
            <c:strRef>
              <c:f>Worksheet!$B$99</c:f>
              <c:strCache>
                <c:ptCount val="1"/>
                <c:pt idx="0">
                  <c:v>Return on Total Investment</c:v>
                </c:pt>
              </c:strCache>
            </c:strRef>
          </c:tx>
          <c:spPr>
            <a:ln w="38100">
              <a:solidFill>
                <a:srgbClr val="FF0000"/>
              </a:solidFill>
              <a:prstDash val="solid"/>
            </a:ln>
          </c:spPr>
          <c:marker>
            <c:symbol val="triangle"/>
            <c:size val="10"/>
            <c:spPr>
              <a:solidFill>
                <a:srgbClr val="FF0000"/>
              </a:solidFill>
              <a:ln>
                <a:solidFill>
                  <a:srgbClr val="FF0000"/>
                </a:solidFill>
                <a:prstDash val="solid"/>
              </a:ln>
            </c:spPr>
          </c:marker>
          <c:cat>
            <c:strRef>
              <c:f>Worksheet!$C$4:$F$4</c:f>
              <c:strCache>
                <c:ptCount val="4"/>
                <c:pt idx="0">
                  <c:v>Current Year</c:v>
                </c:pt>
                <c:pt idx="1">
                  <c:v>Year 1</c:v>
                </c:pt>
                <c:pt idx="2">
                  <c:v>Year 2</c:v>
                </c:pt>
                <c:pt idx="3">
                  <c:v>Year 3</c:v>
                </c:pt>
              </c:strCache>
            </c:strRef>
          </c:cat>
          <c:val>
            <c:numRef>
              <c:f>Worksheet!$C$99:$F$99</c:f>
              <c:numCache>
                <c:formatCode>0.0%</c:formatCode>
                <c:ptCount val="4"/>
                <c:pt idx="0">
                  <c:v>0.19107707432998525</c:v>
                </c:pt>
                <c:pt idx="1">
                  <c:v>0.30498063217834193</c:v>
                </c:pt>
                <c:pt idx="2">
                  <c:v>0.3745719316848381</c:v>
                </c:pt>
                <c:pt idx="3">
                  <c:v>0.37044743613681985</c:v>
                </c:pt>
              </c:numCache>
            </c:numRef>
          </c:val>
          <c:smooth val="0"/>
          <c:extLst>
            <c:ext xmlns:c16="http://schemas.microsoft.com/office/drawing/2014/chart" uri="{C3380CC4-5D6E-409C-BE32-E72D297353CC}">
              <c16:uniqueId val="{00000002-4462-4790-B3AE-08DD48DB32EE}"/>
            </c:ext>
          </c:extLst>
        </c:ser>
        <c:dLbls>
          <c:showLegendKey val="0"/>
          <c:showVal val="0"/>
          <c:showCatName val="0"/>
          <c:showSerName val="0"/>
          <c:showPercent val="0"/>
          <c:showBubbleSize val="0"/>
        </c:dLbls>
        <c:marker val="1"/>
        <c:smooth val="0"/>
        <c:axId val="230024192"/>
        <c:axId val="202421312"/>
      </c:lineChart>
      <c:catAx>
        <c:axId val="230024192"/>
        <c:scaling>
          <c:orientation val="minMax"/>
        </c:scaling>
        <c:delete val="0"/>
        <c:axPos val="b"/>
        <c:title>
          <c:tx>
            <c:rich>
              <a:bodyPr/>
              <a:lstStyle/>
              <a:p>
                <a:pPr>
                  <a:defRPr sz="1500" b="1" i="0" u="none" strike="noStrike" baseline="0">
                    <a:solidFill>
                      <a:srgbClr val="000000"/>
                    </a:solidFill>
                    <a:latin typeface="Arial"/>
                    <a:ea typeface="Arial"/>
                    <a:cs typeface="Arial"/>
                  </a:defRPr>
                </a:pPr>
                <a:r>
                  <a:rPr lang="en-AU"/>
                  <a:t>Year</a:t>
                </a:r>
              </a:p>
            </c:rich>
          </c:tx>
          <c:layout>
            <c:manualLayout>
              <c:xMode val="edge"/>
              <c:yMode val="edge"/>
              <c:x val="0.60044400456617009"/>
              <c:y val="0.893964113732919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02421312"/>
        <c:crosses val="autoZero"/>
        <c:auto val="1"/>
        <c:lblAlgn val="ctr"/>
        <c:lblOffset val="100"/>
        <c:tickMarkSkip val="1"/>
        <c:noMultiLvlLbl val="0"/>
      </c:catAx>
      <c:valAx>
        <c:axId val="202421312"/>
        <c:scaling>
          <c:orientation val="minMax"/>
        </c:scaling>
        <c:delete val="0"/>
        <c:axPos val="l"/>
        <c:majorGridlines>
          <c:spPr>
            <a:ln w="3175">
              <a:solidFill>
                <a:srgbClr val="000000"/>
              </a:solidFill>
              <a:prstDash val="solid"/>
            </a:ln>
          </c:spPr>
        </c:majorGridlines>
        <c:title>
          <c:tx>
            <c:rich>
              <a:bodyPr/>
              <a:lstStyle/>
              <a:p>
                <a:pPr>
                  <a:defRPr sz="1500" b="1" i="0" u="none" strike="noStrike" baseline="0">
                    <a:solidFill>
                      <a:srgbClr val="000000"/>
                    </a:solidFill>
                    <a:latin typeface="Arial"/>
                    <a:ea typeface="Arial"/>
                    <a:cs typeface="Arial"/>
                  </a:defRPr>
                </a:pPr>
                <a:r>
                  <a:rPr lang="en-AU"/>
                  <a:t>Percentage on Sales or Investment</a:t>
                </a:r>
              </a:p>
            </c:rich>
          </c:tx>
          <c:layout>
            <c:manualLayout>
              <c:xMode val="edge"/>
              <c:yMode val="edge"/>
              <c:x val="0"/>
              <c:y val="0.1663947489378885"/>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230024192"/>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10"/>
  <sheetViews>
    <sheetView zoomScale="72" workbookViewId="0"/>
  </sheetViews>
  <sheetProtection algorithmName="SHA-512" hashValue="fnImh03il4JAckhnwsPhQl8vOZW4aFAL/Tsbnd7v8V1/Jq2BOS55FvwDMi4yVp/9N+ia5Svx+iVFlLCDkb/Cow==" saltValue="BNriHrh2kFrQSssNQSwCrw==" spinCount="100000" content="1" objects="1"/>
  <pageMargins left="0.75" right="0.75" top="1" bottom="1" header="0.5" footer="0.5"/>
  <pageSetup orientation="landscape" horizontalDpi="360" verticalDpi="4294967293"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11"/>
  <sheetViews>
    <sheetView zoomScale="72" workbookViewId="0"/>
  </sheetViews>
  <sheetProtection algorithmName="SHA-512" hashValue="vEBIhtGMP8zTbOnJwmg+4KXLvnXnoGatDwvZhSQNTLa/2z6Tph4xXt0jbOiXaFJ4L+L+OCxJZ8153PHu5SBIdw==" saltValue="pfayo5HwrEh1LDzzE0QolQ==" spinCount="100000" content="1" objects="1"/>
  <pageMargins left="0.75" right="0.75" top="1" bottom="1" header="0.5" footer="0.5"/>
  <pageSetup orientation="landscape" horizontalDpi="360" verticalDpi="4294967293"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2"/>
  <sheetViews>
    <sheetView zoomScale="72" workbookViewId="0"/>
  </sheetViews>
  <sheetProtection algorithmName="SHA-512" hashValue="VENNW+5LPPG9TjIvLWfoXgxorEK8lkIZ6ZL3O25rBpTGj9w61GTOMrUNY3qLJjjxMPwiL+yrypl/Gb5M2M+mzQ==" saltValue="K63dRMze9sh3nImhj4mDZw==" spinCount="100000" content="1" objects="1"/>
  <pageMargins left="0.75" right="0.75" top="1" bottom="1" header="0.5" footer="0.5"/>
  <pageSetup orientation="landscape" horizontalDpi="360" verticalDpi="4294967293"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9"/>
  <sheetViews>
    <sheetView zoomScale="72" workbookViewId="0"/>
  </sheetViews>
  <sheetProtection algorithmName="SHA-512" hashValue="55euV24x85E0TbarW5BI4KG8W7fvHg0YutoqXXiCqA1scB1gKt1SaqZOC4RZ/qgsh9A/uLmfijZTKENHUv9GsQ==" saltValue="FfFVR6l5zhPuNKALf48hzg==" spinCount="100000" content="1" objects="1"/>
  <pageMargins left="0.75" right="0.75" top="1" bottom="1" header="0.5" footer="0.5"/>
  <pageSetup orientation="landscape" horizontalDpi="360" verticalDpi="4294967293"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572500" cy="5820833"/>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0.24375</cdr:x>
      <cdr:y>0</cdr:y>
    </cdr:from>
    <cdr:to>
      <cdr:x>0.5785</cdr:x>
      <cdr:y>0.07275</cdr:y>
    </cdr:to>
    <cdr:sp macro="" textlink="Input!$C$11">
      <cdr:nvSpPr>
        <cdr:cNvPr id="406531" name="Text Box 3"/>
        <cdr:cNvSpPr txBox="1">
          <a:spLocks xmlns:a="http://schemas.openxmlformats.org/drawingml/2006/main" noChangeArrowheads="1" noTextEdit="1"/>
        </cdr:cNvSpPr>
      </cdr:nvSpPr>
      <cdr:spPr bwMode="auto">
        <a:xfrm xmlns:a="http://schemas.openxmlformats.org/drawingml/2006/main">
          <a:off x="2091869" y="0"/>
          <a:ext cx="2872832" cy="4247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28D19129-BA80-4765-9005-0453EE190ED4}" type="TxLink">
            <a:rPr lang="en-AU" sz="1400" b="1" i="0" u="none" strike="noStrike" baseline="0">
              <a:solidFill>
                <a:srgbClr val="000000"/>
              </a:solidFill>
              <a:latin typeface="Arial"/>
              <a:cs typeface="Arial"/>
            </a:rPr>
            <a:pPr algn="l" rtl="0">
              <a:defRPr sz="1000"/>
            </a:pPr>
            <a:t>Example Business</a:t>
          </a:fld>
          <a:endParaRPr lang="en-AU" sz="1400" b="1"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572500" cy="5820833"/>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0.21475</cdr:x>
      <cdr:y>0</cdr:y>
    </cdr:from>
    <cdr:to>
      <cdr:x>0.55675</cdr:x>
      <cdr:y>0.07625</cdr:y>
    </cdr:to>
    <cdr:sp macro="" textlink="Input!$C$11">
      <cdr:nvSpPr>
        <cdr:cNvPr id="428035" name="Text Box 3"/>
        <cdr:cNvSpPr txBox="1">
          <a:spLocks xmlns:a="http://schemas.openxmlformats.org/drawingml/2006/main" noChangeArrowheads="1" noTextEdit="1"/>
        </cdr:cNvSpPr>
      </cdr:nvSpPr>
      <cdr:spPr bwMode="auto">
        <a:xfrm xmlns:a="http://schemas.openxmlformats.org/drawingml/2006/main">
          <a:off x="1842990" y="0"/>
          <a:ext cx="2935052" cy="44521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B8E0C515-DAF3-4BA3-951B-1A8796FDFF5A}" type="TxLink">
            <a:rPr lang="en-AU" sz="1400" b="1" i="0" u="none" strike="noStrike" baseline="0">
              <a:solidFill>
                <a:srgbClr val="000000"/>
              </a:solidFill>
              <a:latin typeface="Arial"/>
              <a:cs typeface="Arial"/>
            </a:rPr>
            <a:pPr algn="l" rtl="0">
              <a:defRPr sz="1000"/>
            </a:pPr>
            <a:t>Example Business</a:t>
          </a:fld>
          <a:endParaRPr lang="en-AU" sz="1400" b="1" i="0" u="none" strike="noStrike" baseline="0">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572500" cy="5820833"/>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0.375</cdr:x>
      <cdr:y>0</cdr:y>
    </cdr:from>
    <cdr:to>
      <cdr:x>0.608</cdr:x>
      <cdr:y>0.074</cdr:y>
    </cdr:to>
    <cdr:sp macro="" textlink="Input!$C$11">
      <cdr:nvSpPr>
        <cdr:cNvPr id="451587" name="Text Box 3"/>
        <cdr:cNvSpPr txBox="1">
          <a:spLocks xmlns:a="http://schemas.openxmlformats.org/drawingml/2006/main" noChangeArrowheads="1" noTextEdit="1"/>
        </cdr:cNvSpPr>
      </cdr:nvSpPr>
      <cdr:spPr bwMode="auto">
        <a:xfrm xmlns:a="http://schemas.openxmlformats.org/drawingml/2006/main">
          <a:off x="3218259" y="0"/>
          <a:ext cx="1999612" cy="4320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C090499D-E5F9-458B-B47B-89F7FC162A47}" type="TxLink">
            <a:rPr lang="en-AU" sz="1400" b="1" i="0" u="none" strike="noStrike" baseline="0">
              <a:solidFill>
                <a:srgbClr val="000000"/>
              </a:solidFill>
              <a:latin typeface="Arial"/>
              <a:cs typeface="Arial"/>
            </a:rPr>
            <a:pPr algn="l" rtl="0">
              <a:defRPr sz="1000"/>
            </a:pPr>
            <a:t>Example Business</a:t>
          </a:fld>
          <a:endParaRPr lang="en-AU" sz="1400" b="1"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572500" cy="5820833"/>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0.39775</cdr:x>
      <cdr:y>0</cdr:y>
    </cdr:from>
    <cdr:to>
      <cdr:x>0.65675</cdr:x>
      <cdr:y>0.077</cdr:y>
    </cdr:to>
    <cdr:sp macro="" textlink="Input!$C$11">
      <cdr:nvSpPr>
        <cdr:cNvPr id="397315" name="Text Box 3"/>
        <cdr:cNvSpPr txBox="1">
          <a:spLocks xmlns:a="http://schemas.openxmlformats.org/drawingml/2006/main" noChangeArrowheads="1" noTextEdit="1"/>
        </cdr:cNvSpPr>
      </cdr:nvSpPr>
      <cdr:spPr bwMode="auto">
        <a:xfrm xmlns:a="http://schemas.openxmlformats.org/drawingml/2006/main">
          <a:off x="3413500" y="0"/>
          <a:ext cx="2222745" cy="44959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D81BFE41-060A-48B7-B684-07C343381833}" type="TxLink">
            <a:rPr lang="en-AU" sz="1400" b="1" i="0" u="none" strike="noStrike" baseline="0">
              <a:solidFill>
                <a:srgbClr val="000000"/>
              </a:solidFill>
              <a:latin typeface="Arial"/>
              <a:cs typeface="Arial"/>
            </a:rPr>
            <a:pPr algn="l" rtl="0">
              <a:defRPr sz="1000"/>
            </a:pPr>
            <a:t>Example Business</a:t>
          </a:fld>
          <a:endParaRPr lang="en-AU" sz="1400" b="1" i="0" u="none" strike="noStrike" baseline="0">
            <a:solidFill>
              <a:srgbClr val="000000"/>
            </a:solidFill>
            <a:latin typeface="Arial"/>
            <a:cs typeface="Aria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zpep.com/businessvaluation.html?display=license" TargetMode="External"/><Relationship Id="rId1" Type="http://schemas.openxmlformats.org/officeDocument/2006/relationships/hyperlink" Target="https://bizpep.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bizpep.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7218-6770-4E53-8932-112EDF77B75E}">
  <sheetPr codeName="Sheet2"/>
  <dimension ref="B1:F24"/>
  <sheetViews>
    <sheetView showGridLines="0" tabSelected="1" workbookViewId="0">
      <selection activeCell="C18" sqref="C18"/>
    </sheetView>
  </sheetViews>
  <sheetFormatPr defaultColWidth="9.1796875" defaultRowHeight="12.5" x14ac:dyDescent="0.25"/>
  <cols>
    <col min="1" max="1" width="9.1796875" style="314"/>
    <col min="2" max="2" width="30.7265625" style="317" customWidth="1"/>
    <col min="3" max="3" width="60.7265625" style="319" customWidth="1"/>
    <col min="4" max="4" width="9.1796875" style="314"/>
    <col min="5" max="5" width="9.26953125" style="314" bestFit="1" customWidth="1"/>
    <col min="6" max="6" width="12.7265625" style="314" bestFit="1" customWidth="1"/>
    <col min="7" max="8" width="9.26953125" style="314" bestFit="1" customWidth="1"/>
    <col min="9" max="16384" width="9.1796875" style="314"/>
  </cols>
  <sheetData>
    <row r="1" spans="2:3" ht="18" x14ac:dyDescent="0.4">
      <c r="B1" s="345" t="s">
        <v>257</v>
      </c>
      <c r="C1" s="345"/>
    </row>
    <row r="2" spans="2:3" ht="12.75" customHeight="1" x14ac:dyDescent="0.4">
      <c r="B2" s="345"/>
      <c r="C2" s="345"/>
    </row>
    <row r="3" spans="2:3" x14ac:dyDescent="0.25">
      <c r="B3" s="346" t="s">
        <v>271</v>
      </c>
      <c r="C3" s="346"/>
    </row>
    <row r="4" spans="2:3" x14ac:dyDescent="0.25">
      <c r="B4" s="347"/>
      <c r="C4" s="347"/>
    </row>
    <row r="5" spans="2:3" ht="60" customHeight="1" x14ac:dyDescent="0.25">
      <c r="B5" s="348" t="s">
        <v>259</v>
      </c>
      <c r="C5" s="348"/>
    </row>
    <row r="6" spans="2:3" ht="33.75" customHeight="1" x14ac:dyDescent="0.25">
      <c r="B6" s="347" t="s">
        <v>268</v>
      </c>
      <c r="C6" s="347"/>
    </row>
    <row r="7" spans="2:3" ht="13" x14ac:dyDescent="0.3">
      <c r="B7" s="349" t="s">
        <v>258</v>
      </c>
      <c r="C7" s="344"/>
    </row>
    <row r="8" spans="2:3" x14ac:dyDescent="0.25">
      <c r="B8" s="347" t="s">
        <v>260</v>
      </c>
      <c r="C8" s="347"/>
    </row>
    <row r="9" spans="2:3" x14ac:dyDescent="0.25">
      <c r="B9" s="350" t="s">
        <v>261</v>
      </c>
      <c r="C9" s="350"/>
    </row>
    <row r="10" spans="2:3" x14ac:dyDescent="0.25">
      <c r="B10" s="347"/>
      <c r="C10" s="347"/>
    </row>
    <row r="11" spans="2:3" x14ac:dyDescent="0.25">
      <c r="B11" s="344" t="str">
        <f ca="1">IF(scratch!B55=TRUE,"Current license subscriptions can be managed directly from your PayPal account.","In evaluation mode functionality is restriced.")</f>
        <v>In evaluation mode functionality is restriced.</v>
      </c>
      <c r="C11" s="344"/>
    </row>
    <row r="12" spans="2:3" x14ac:dyDescent="0.25">
      <c r="B12" s="343" t="str">
        <f ca="1">IF(scratch!B55=TRUE,"On renewal new License Details will be emailed. You can purchase at new license at:","To fully enable this application please purchase a license at:")</f>
        <v>To fully enable this application please purchase a license at:</v>
      </c>
      <c r="C12" s="343"/>
    </row>
    <row r="13" spans="2:3" x14ac:dyDescent="0.25">
      <c r="B13" s="342" t="s">
        <v>264</v>
      </c>
      <c r="C13" s="342"/>
    </row>
    <row r="14" spans="2:3" x14ac:dyDescent="0.25">
      <c r="B14" s="343" t="str">
        <f ca="1">IF(scratch!B55=TRUE,"Current license details fully enable your application","License Details are sent by email, on reciept input license details to fully enable your application.")</f>
        <v>License Details are sent by email, on reciept input license details to fully enable your application.</v>
      </c>
      <c r="C14" s="343"/>
    </row>
    <row r="15" spans="2:3" ht="13" x14ac:dyDescent="0.3">
      <c r="B15" s="322"/>
      <c r="C15" s="322"/>
    </row>
    <row r="16" spans="2:3" ht="13" x14ac:dyDescent="0.3">
      <c r="B16" s="322"/>
      <c r="C16" s="322"/>
    </row>
    <row r="17" spans="2:6" ht="13" x14ac:dyDescent="0.3">
      <c r="B17" s="315" t="s">
        <v>262</v>
      </c>
      <c r="C17" s="323" t="s">
        <v>265</v>
      </c>
      <c r="D17" s="316"/>
    </row>
    <row r="18" spans="2:6" x14ac:dyDescent="0.25">
      <c r="B18" s="321" t="s">
        <v>253</v>
      </c>
      <c r="C18" s="324"/>
      <c r="D18" s="316"/>
    </row>
    <row r="19" spans="2:6" ht="13" x14ac:dyDescent="0.3">
      <c r="B19" s="321" t="s">
        <v>254</v>
      </c>
      <c r="C19" s="320"/>
      <c r="D19" s="316"/>
    </row>
    <row r="20" spans="2:6" ht="13" x14ac:dyDescent="0.3">
      <c r="B20" s="317" t="s">
        <v>255</v>
      </c>
      <c r="C20" s="318" t="str">
        <f ca="1">IF(scratch!B55=TRUE,scratch!C55,"Not Licensed, for Evaluation Only.")</f>
        <v>Not Licensed, for Evaluation Only.</v>
      </c>
      <c r="D20" s="316"/>
    </row>
    <row r="21" spans="2:6" x14ac:dyDescent="0.25">
      <c r="B21" s="343" t="str">
        <f ca="1">IF(status=2,"Open license unlock password "&amp;scratch!E41,"")</f>
        <v/>
      </c>
      <c r="C21" s="343"/>
    </row>
    <row r="22" spans="2:6" x14ac:dyDescent="0.25">
      <c r="B22" s="344" t="s">
        <v>263</v>
      </c>
      <c r="C22" s="344"/>
    </row>
    <row r="23" spans="2:6" x14ac:dyDescent="0.25">
      <c r="B23" s="344"/>
      <c r="C23" s="344"/>
    </row>
    <row r="24" spans="2:6" ht="13" x14ac:dyDescent="0.25">
      <c r="B24" s="341" t="s">
        <v>269</v>
      </c>
      <c r="C24" s="341"/>
      <c r="D24" s="325"/>
      <c r="E24" s="325"/>
      <c r="F24" s="326"/>
    </row>
  </sheetData>
  <sheetProtection algorithmName="SHA-512" hashValue="Nu3n1nmaI6Vu1sFAurC0LCStiul92DtVAd3KhVLnd2n1g0mTMsUlHLPOOtckChQPt0uxVcsqm6hxGw6MgAjHjA==" saltValue="y9AcCyl5R3YIyGb1qeX9Rg==" spinCount="100000" sheet="1" objects="1" scenarios="1"/>
  <mergeCells count="18">
    <mergeCell ref="B12:C12"/>
    <mergeCell ref="B1:C1"/>
    <mergeCell ref="B2:C2"/>
    <mergeCell ref="B3:C3"/>
    <mergeCell ref="B4:C4"/>
    <mergeCell ref="B5:C5"/>
    <mergeCell ref="B6:C6"/>
    <mergeCell ref="B7:C7"/>
    <mergeCell ref="B8:C8"/>
    <mergeCell ref="B9:C9"/>
    <mergeCell ref="B10:C10"/>
    <mergeCell ref="B11:C11"/>
    <mergeCell ref="B24:C24"/>
    <mergeCell ref="B13:C13"/>
    <mergeCell ref="B14:C14"/>
    <mergeCell ref="B21:C21"/>
    <mergeCell ref="B22:C22"/>
    <mergeCell ref="B23:C23"/>
  </mergeCells>
  <hyperlinks>
    <hyperlink ref="B3:C3" r:id="rId1" display="Build: 20211112 by bizpep.com" xr:uid="{8B39CF06-3F83-4D65-A600-3A123363D04A}"/>
    <hyperlink ref="B9:C9" location="Instructions!A1" display="Instructions" xr:uid="{0CC0C5D8-EE27-4A3E-A776-54DFA55B3B42}"/>
    <hyperlink ref="B13:C13" r:id="rId2" display="https://bizpep.com/businessvaluation.html?display=license" xr:uid="{082609A6-145E-4749-8B54-F6458CDB8D13}"/>
  </hyperlinks>
  <pageMargins left="0.75" right="0.75" top="1" bottom="1" header="0.5" footer="0.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B41:J107"/>
  <sheetViews>
    <sheetView showGridLines="0" workbookViewId="0"/>
  </sheetViews>
  <sheetFormatPr defaultColWidth="9.1796875" defaultRowHeight="10" x14ac:dyDescent="0.2"/>
  <cols>
    <col min="1" max="1" width="9.1796875" style="327"/>
    <col min="2" max="2" width="17.1796875" style="327" bestFit="1" customWidth="1"/>
    <col min="3" max="3" width="13.26953125" style="327" bestFit="1" customWidth="1"/>
    <col min="4" max="5" width="9.26953125" style="327" bestFit="1" customWidth="1"/>
    <col min="6" max="6" width="9.1796875" style="327"/>
    <col min="7" max="7" width="9.26953125" style="327" bestFit="1" customWidth="1"/>
    <col min="8" max="8" width="9.1796875" style="327"/>
    <col min="9" max="9" width="9.26953125" style="327" bestFit="1" customWidth="1"/>
    <col min="10" max="10" width="16.453125" style="327" customWidth="1"/>
    <col min="11" max="16384" width="9.1796875" style="327"/>
  </cols>
  <sheetData>
    <row r="41" spans="2:5" x14ac:dyDescent="0.2">
      <c r="B41" s="328"/>
      <c r="C41" s="328"/>
      <c r="D41" s="328"/>
      <c r="E41" s="329">
        <f>SUM(E42:E46)</f>
        <v>334</v>
      </c>
    </row>
    <row r="42" spans="2:5" x14ac:dyDescent="0.2">
      <c r="B42" s="330">
        <f>1</f>
        <v>1</v>
      </c>
      <c r="C42" s="330" t="s">
        <v>266</v>
      </c>
      <c r="D42" s="330">
        <f>IFERROR(CODE(C42),0)</f>
        <v>98</v>
      </c>
      <c r="E42" s="330">
        <f>B42*D42</f>
        <v>98</v>
      </c>
    </row>
    <row r="43" spans="2:5" x14ac:dyDescent="0.2">
      <c r="B43" s="330">
        <f t="shared" ref="B43:B46" si="0">B42+1</f>
        <v>2</v>
      </c>
      <c r="C43" s="330" t="s">
        <v>267</v>
      </c>
      <c r="D43" s="330">
        <f t="shared" ref="D43:D46" si="1">IFERROR(CODE(C43),0)</f>
        <v>118</v>
      </c>
      <c r="E43" s="330">
        <f t="shared" ref="E43:E46" si="2">B43*D43</f>
        <v>236</v>
      </c>
    </row>
    <row r="44" spans="2:5" x14ac:dyDescent="0.2">
      <c r="B44" s="330">
        <f t="shared" si="0"/>
        <v>3</v>
      </c>
      <c r="C44" s="330"/>
      <c r="D44" s="330">
        <f t="shared" si="1"/>
        <v>0</v>
      </c>
      <c r="E44" s="330">
        <f t="shared" si="2"/>
        <v>0</v>
      </c>
    </row>
    <row r="45" spans="2:5" x14ac:dyDescent="0.2">
      <c r="B45" s="330">
        <f t="shared" si="0"/>
        <v>4</v>
      </c>
      <c r="C45" s="330"/>
      <c r="D45" s="330">
        <f t="shared" si="1"/>
        <v>0</v>
      </c>
      <c r="E45" s="330">
        <f t="shared" si="2"/>
        <v>0</v>
      </c>
    </row>
    <row r="46" spans="2:5" x14ac:dyDescent="0.2">
      <c r="B46" s="330">
        <f t="shared" si="0"/>
        <v>5</v>
      </c>
      <c r="C46" s="330"/>
      <c r="D46" s="330">
        <f t="shared" si="1"/>
        <v>0</v>
      </c>
      <c r="E46" s="330">
        <f t="shared" si="2"/>
        <v>0</v>
      </c>
    </row>
    <row r="50" spans="2:10" x14ac:dyDescent="0.2">
      <c r="B50" s="331" t="str">
        <f ca="1">IF(scratch!B55=TRUE,"Licensed to "&amp;Welcome!C18, Welcome!C20&amp;" In Evaluation Mode some results are Locked and not calculated.")</f>
        <v>Not Licensed, for Evaluation Only. In Evaluation Mode some results are Locked and not calculated.</v>
      </c>
    </row>
    <row r="52" spans="2:10" x14ac:dyDescent="0.2">
      <c r="B52" s="332" t="s">
        <v>256</v>
      </c>
      <c r="C52" s="332">
        <v>500000</v>
      </c>
      <c r="D52" s="332"/>
    </row>
    <row r="53" spans="2:10" x14ac:dyDescent="0.2">
      <c r="B53" s="331" t="b">
        <f>IFERROR(AND(ISTEXT(Welcome!C18),LEN(Welcome!C18)&gt;6),FALSE)</f>
        <v>0</v>
      </c>
      <c r="C53" s="332"/>
      <c r="D53" s="332"/>
    </row>
    <row r="54" spans="2:10" x14ac:dyDescent="0.2">
      <c r="B54" s="331" t="b">
        <f>IFERROR(AND(ISNUMBER(INT(Welcome!C19)),LEN(Welcome!C19)&gt;8),FALSE)</f>
        <v>0</v>
      </c>
      <c r="C54" s="333" t="b">
        <f>IFERROR(Welcome!C19/scratch!E57/E41,FALSE)</f>
        <v>0</v>
      </c>
      <c r="D54" s="332"/>
      <c r="H54" s="334"/>
    </row>
    <row r="55" spans="2:10" x14ac:dyDescent="0.2">
      <c r="B55" s="331" t="b">
        <f ca="1">IFERROR(AND(ISNUMBER(C54),LEN(C54)=8,TODAY()&lt;C55+7),FALSE)</f>
        <v>0</v>
      </c>
      <c r="C55" s="335" t="b">
        <f>IFERROR(DATE(MID(C54,1,4),MID(C54,5,2),MID(C54,7,2)),FALSE)</f>
        <v>0</v>
      </c>
      <c r="D55" s="332"/>
    </row>
    <row r="56" spans="2:10" ht="12.5" x14ac:dyDescent="0.25">
      <c r="C56" s="327">
        <f ca="1">IF(AND(B55=TRUE,ISNUMBER(C55)),IF(C55&gt;TODAY()+3650,2,IF(C55&gt;TODAY()-2,1,0)),0)</f>
        <v>0</v>
      </c>
      <c r="G56" s="336"/>
      <c r="H56" s="328"/>
      <c r="I56" s="328"/>
      <c r="J56" s="337">
        <f>I56*J57*E41</f>
        <v>0</v>
      </c>
    </row>
    <row r="57" spans="2:10" x14ac:dyDescent="0.2">
      <c r="B57" s="331"/>
      <c r="C57" s="338"/>
      <c r="D57" s="331"/>
      <c r="E57" s="339">
        <f>SUM(E58:E107)</f>
        <v>0</v>
      </c>
      <c r="G57" s="330"/>
      <c r="H57" s="340"/>
      <c r="I57" s="330"/>
      <c r="J57" s="329">
        <f>SUM(J58:J107)</f>
        <v>0</v>
      </c>
    </row>
    <row r="58" spans="2:10" x14ac:dyDescent="0.2">
      <c r="B58" s="331">
        <f>1</f>
        <v>1</v>
      </c>
      <c r="C58" s="331" t="str">
        <f>MID(Welcome!$C$18,B58,1)</f>
        <v/>
      </c>
      <c r="D58" s="331">
        <f t="shared" ref="D58:D107" si="3">IFERROR(CODE(C58),0)</f>
        <v>0</v>
      </c>
      <c r="E58" s="331">
        <f t="shared" ref="E58:E107" si="4">B58*D58</f>
        <v>0</v>
      </c>
      <c r="G58" s="330">
        <f>1</f>
        <v>1</v>
      </c>
      <c r="H58" s="330" t="str">
        <f t="shared" ref="H58:H107" si="5">MID($G$56,G58,1)</f>
        <v/>
      </c>
      <c r="I58" s="330">
        <f t="shared" ref="I58:I107" si="6">IFERROR(CODE(H58),0)</f>
        <v>0</v>
      </c>
      <c r="J58" s="330">
        <f t="shared" ref="J58:J107" si="7">G58*I58</f>
        <v>0</v>
      </c>
    </row>
    <row r="59" spans="2:10" x14ac:dyDescent="0.2">
      <c r="B59" s="331">
        <f t="shared" ref="B59:B107" si="8">B58+1</f>
        <v>2</v>
      </c>
      <c r="C59" s="331" t="str">
        <f>MID(Welcome!$C$18,B59,1)</f>
        <v/>
      </c>
      <c r="D59" s="331">
        <f t="shared" si="3"/>
        <v>0</v>
      </c>
      <c r="E59" s="331">
        <f t="shared" si="4"/>
        <v>0</v>
      </c>
      <c r="G59" s="330">
        <f t="shared" ref="G59:G107" si="9">G58+1</f>
        <v>2</v>
      </c>
      <c r="H59" s="330" t="str">
        <f t="shared" si="5"/>
        <v/>
      </c>
      <c r="I59" s="330">
        <f t="shared" si="6"/>
        <v>0</v>
      </c>
      <c r="J59" s="330">
        <f t="shared" si="7"/>
        <v>0</v>
      </c>
    </row>
    <row r="60" spans="2:10" x14ac:dyDescent="0.2">
      <c r="B60" s="331">
        <f t="shared" si="8"/>
        <v>3</v>
      </c>
      <c r="C60" s="331" t="str">
        <f>MID(Welcome!$C$18,B60,1)</f>
        <v/>
      </c>
      <c r="D60" s="331">
        <f t="shared" si="3"/>
        <v>0</v>
      </c>
      <c r="E60" s="331">
        <f t="shared" si="4"/>
        <v>0</v>
      </c>
      <c r="G60" s="330">
        <f t="shared" si="9"/>
        <v>3</v>
      </c>
      <c r="H60" s="330" t="str">
        <f t="shared" si="5"/>
        <v/>
      </c>
      <c r="I60" s="330">
        <f t="shared" si="6"/>
        <v>0</v>
      </c>
      <c r="J60" s="330">
        <f t="shared" si="7"/>
        <v>0</v>
      </c>
    </row>
    <row r="61" spans="2:10" x14ac:dyDescent="0.2">
      <c r="B61" s="331">
        <f t="shared" si="8"/>
        <v>4</v>
      </c>
      <c r="C61" s="331" t="str">
        <f>MID(Welcome!$C$18,B61,1)</f>
        <v/>
      </c>
      <c r="D61" s="331">
        <f t="shared" si="3"/>
        <v>0</v>
      </c>
      <c r="E61" s="331">
        <f t="shared" si="4"/>
        <v>0</v>
      </c>
      <c r="G61" s="330">
        <f t="shared" si="9"/>
        <v>4</v>
      </c>
      <c r="H61" s="330" t="str">
        <f t="shared" si="5"/>
        <v/>
      </c>
      <c r="I61" s="330">
        <f t="shared" si="6"/>
        <v>0</v>
      </c>
      <c r="J61" s="330">
        <f t="shared" si="7"/>
        <v>0</v>
      </c>
    </row>
    <row r="62" spans="2:10" x14ac:dyDescent="0.2">
      <c r="B62" s="331">
        <f t="shared" si="8"/>
        <v>5</v>
      </c>
      <c r="C62" s="331" t="str">
        <f>MID(Welcome!$C$18,B62,1)</f>
        <v/>
      </c>
      <c r="D62" s="331">
        <f t="shared" si="3"/>
        <v>0</v>
      </c>
      <c r="E62" s="331">
        <f t="shared" si="4"/>
        <v>0</v>
      </c>
      <c r="G62" s="330">
        <f t="shared" si="9"/>
        <v>5</v>
      </c>
      <c r="H62" s="330" t="str">
        <f t="shared" si="5"/>
        <v/>
      </c>
      <c r="I62" s="330">
        <f t="shared" si="6"/>
        <v>0</v>
      </c>
      <c r="J62" s="330">
        <f t="shared" si="7"/>
        <v>0</v>
      </c>
    </row>
    <row r="63" spans="2:10" x14ac:dyDescent="0.2">
      <c r="B63" s="331">
        <f t="shared" si="8"/>
        <v>6</v>
      </c>
      <c r="C63" s="331" t="str">
        <f>MID(Welcome!$C$18,B63,1)</f>
        <v/>
      </c>
      <c r="D63" s="331">
        <f t="shared" si="3"/>
        <v>0</v>
      </c>
      <c r="E63" s="331">
        <f t="shared" si="4"/>
        <v>0</v>
      </c>
      <c r="G63" s="330">
        <f t="shared" si="9"/>
        <v>6</v>
      </c>
      <c r="H63" s="330" t="str">
        <f t="shared" si="5"/>
        <v/>
      </c>
      <c r="I63" s="330">
        <f t="shared" si="6"/>
        <v>0</v>
      </c>
      <c r="J63" s="330">
        <f t="shared" si="7"/>
        <v>0</v>
      </c>
    </row>
    <row r="64" spans="2:10" x14ac:dyDescent="0.2">
      <c r="B64" s="331">
        <f t="shared" si="8"/>
        <v>7</v>
      </c>
      <c r="C64" s="331" t="str">
        <f>MID(Welcome!$C$18,B64,1)</f>
        <v/>
      </c>
      <c r="D64" s="331">
        <f t="shared" si="3"/>
        <v>0</v>
      </c>
      <c r="E64" s="331">
        <f t="shared" si="4"/>
        <v>0</v>
      </c>
      <c r="G64" s="330">
        <f t="shared" si="9"/>
        <v>7</v>
      </c>
      <c r="H64" s="330" t="str">
        <f t="shared" si="5"/>
        <v/>
      </c>
      <c r="I64" s="330">
        <f t="shared" si="6"/>
        <v>0</v>
      </c>
      <c r="J64" s="330">
        <f t="shared" si="7"/>
        <v>0</v>
      </c>
    </row>
    <row r="65" spans="2:10" x14ac:dyDescent="0.2">
      <c r="B65" s="331">
        <f t="shared" si="8"/>
        <v>8</v>
      </c>
      <c r="C65" s="331" t="str">
        <f>MID(Welcome!$C$18,B65,1)</f>
        <v/>
      </c>
      <c r="D65" s="331">
        <f t="shared" si="3"/>
        <v>0</v>
      </c>
      <c r="E65" s="331">
        <f t="shared" si="4"/>
        <v>0</v>
      </c>
      <c r="G65" s="330">
        <f t="shared" si="9"/>
        <v>8</v>
      </c>
      <c r="H65" s="330" t="str">
        <f t="shared" si="5"/>
        <v/>
      </c>
      <c r="I65" s="330">
        <f t="shared" si="6"/>
        <v>0</v>
      </c>
      <c r="J65" s="330">
        <f t="shared" si="7"/>
        <v>0</v>
      </c>
    </row>
    <row r="66" spans="2:10" x14ac:dyDescent="0.2">
      <c r="B66" s="331">
        <f t="shared" si="8"/>
        <v>9</v>
      </c>
      <c r="C66" s="331" t="str">
        <f>MID(Welcome!$C$18,B66,1)</f>
        <v/>
      </c>
      <c r="D66" s="331">
        <f t="shared" si="3"/>
        <v>0</v>
      </c>
      <c r="E66" s="331">
        <f t="shared" si="4"/>
        <v>0</v>
      </c>
      <c r="G66" s="330">
        <f t="shared" si="9"/>
        <v>9</v>
      </c>
      <c r="H66" s="330" t="str">
        <f t="shared" si="5"/>
        <v/>
      </c>
      <c r="I66" s="330">
        <f t="shared" si="6"/>
        <v>0</v>
      </c>
      <c r="J66" s="330">
        <f t="shared" si="7"/>
        <v>0</v>
      </c>
    </row>
    <row r="67" spans="2:10" x14ac:dyDescent="0.2">
      <c r="B67" s="331">
        <f t="shared" si="8"/>
        <v>10</v>
      </c>
      <c r="C67" s="331" t="str">
        <f>MID(Welcome!$C$18,B67,1)</f>
        <v/>
      </c>
      <c r="D67" s="331">
        <f t="shared" si="3"/>
        <v>0</v>
      </c>
      <c r="E67" s="331">
        <f t="shared" si="4"/>
        <v>0</v>
      </c>
      <c r="G67" s="330">
        <f t="shared" si="9"/>
        <v>10</v>
      </c>
      <c r="H67" s="330" t="str">
        <f t="shared" si="5"/>
        <v/>
      </c>
      <c r="I67" s="330">
        <f t="shared" si="6"/>
        <v>0</v>
      </c>
      <c r="J67" s="330">
        <f t="shared" si="7"/>
        <v>0</v>
      </c>
    </row>
    <row r="68" spans="2:10" x14ac:dyDescent="0.2">
      <c r="B68" s="331">
        <f t="shared" si="8"/>
        <v>11</v>
      </c>
      <c r="C68" s="331" t="str">
        <f>MID(Welcome!$C$18,B68,1)</f>
        <v/>
      </c>
      <c r="D68" s="331">
        <f t="shared" si="3"/>
        <v>0</v>
      </c>
      <c r="E68" s="331">
        <f t="shared" si="4"/>
        <v>0</v>
      </c>
      <c r="G68" s="330">
        <f t="shared" si="9"/>
        <v>11</v>
      </c>
      <c r="H68" s="330" t="str">
        <f t="shared" si="5"/>
        <v/>
      </c>
      <c r="I68" s="330">
        <f t="shared" si="6"/>
        <v>0</v>
      </c>
      <c r="J68" s="330">
        <f t="shared" si="7"/>
        <v>0</v>
      </c>
    </row>
    <row r="69" spans="2:10" x14ac:dyDescent="0.2">
      <c r="B69" s="331">
        <f t="shared" si="8"/>
        <v>12</v>
      </c>
      <c r="C69" s="331" t="str">
        <f>MID(Welcome!$C$18,B69,1)</f>
        <v/>
      </c>
      <c r="D69" s="331">
        <f t="shared" si="3"/>
        <v>0</v>
      </c>
      <c r="E69" s="331">
        <f t="shared" si="4"/>
        <v>0</v>
      </c>
      <c r="G69" s="330">
        <f t="shared" si="9"/>
        <v>12</v>
      </c>
      <c r="H69" s="330" t="str">
        <f t="shared" si="5"/>
        <v/>
      </c>
      <c r="I69" s="330">
        <f t="shared" si="6"/>
        <v>0</v>
      </c>
      <c r="J69" s="330">
        <f t="shared" si="7"/>
        <v>0</v>
      </c>
    </row>
    <row r="70" spans="2:10" x14ac:dyDescent="0.2">
      <c r="B70" s="331">
        <f t="shared" si="8"/>
        <v>13</v>
      </c>
      <c r="C70" s="331" t="str">
        <f>MID(Welcome!$C$18,B70,1)</f>
        <v/>
      </c>
      <c r="D70" s="331">
        <f t="shared" si="3"/>
        <v>0</v>
      </c>
      <c r="E70" s="331">
        <f t="shared" si="4"/>
        <v>0</v>
      </c>
      <c r="G70" s="330">
        <f t="shared" si="9"/>
        <v>13</v>
      </c>
      <c r="H70" s="330" t="str">
        <f t="shared" si="5"/>
        <v/>
      </c>
      <c r="I70" s="330">
        <f t="shared" si="6"/>
        <v>0</v>
      </c>
      <c r="J70" s="330">
        <f t="shared" si="7"/>
        <v>0</v>
      </c>
    </row>
    <row r="71" spans="2:10" x14ac:dyDescent="0.2">
      <c r="B71" s="331">
        <f t="shared" si="8"/>
        <v>14</v>
      </c>
      <c r="C71" s="331" t="str">
        <f>MID(Welcome!$C$18,B71,1)</f>
        <v/>
      </c>
      <c r="D71" s="331">
        <f t="shared" si="3"/>
        <v>0</v>
      </c>
      <c r="E71" s="331">
        <f t="shared" si="4"/>
        <v>0</v>
      </c>
      <c r="G71" s="330">
        <f t="shared" si="9"/>
        <v>14</v>
      </c>
      <c r="H71" s="330" t="str">
        <f t="shared" si="5"/>
        <v/>
      </c>
      <c r="I71" s="330">
        <f t="shared" si="6"/>
        <v>0</v>
      </c>
      <c r="J71" s="330">
        <f t="shared" si="7"/>
        <v>0</v>
      </c>
    </row>
    <row r="72" spans="2:10" x14ac:dyDescent="0.2">
      <c r="B72" s="331">
        <f t="shared" si="8"/>
        <v>15</v>
      </c>
      <c r="C72" s="331" t="str">
        <f>MID(Welcome!$C$18,B72,1)</f>
        <v/>
      </c>
      <c r="D72" s="331">
        <f t="shared" si="3"/>
        <v>0</v>
      </c>
      <c r="E72" s="331">
        <f t="shared" si="4"/>
        <v>0</v>
      </c>
      <c r="G72" s="330">
        <f t="shared" si="9"/>
        <v>15</v>
      </c>
      <c r="H72" s="330" t="str">
        <f t="shared" si="5"/>
        <v/>
      </c>
      <c r="I72" s="330">
        <f t="shared" si="6"/>
        <v>0</v>
      </c>
      <c r="J72" s="330">
        <f t="shared" si="7"/>
        <v>0</v>
      </c>
    </row>
    <row r="73" spans="2:10" x14ac:dyDescent="0.2">
      <c r="B73" s="331">
        <f t="shared" si="8"/>
        <v>16</v>
      </c>
      <c r="C73" s="331" t="str">
        <f>MID(Welcome!$C$18,B73,1)</f>
        <v/>
      </c>
      <c r="D73" s="331">
        <f t="shared" si="3"/>
        <v>0</v>
      </c>
      <c r="E73" s="331">
        <f t="shared" si="4"/>
        <v>0</v>
      </c>
      <c r="G73" s="330">
        <f t="shared" si="9"/>
        <v>16</v>
      </c>
      <c r="H73" s="330" t="str">
        <f t="shared" si="5"/>
        <v/>
      </c>
      <c r="I73" s="330">
        <f t="shared" si="6"/>
        <v>0</v>
      </c>
      <c r="J73" s="330">
        <f t="shared" si="7"/>
        <v>0</v>
      </c>
    </row>
    <row r="74" spans="2:10" x14ac:dyDescent="0.2">
      <c r="B74" s="331">
        <f t="shared" si="8"/>
        <v>17</v>
      </c>
      <c r="C74" s="331" t="str">
        <f>MID(Welcome!$C$18,B74,1)</f>
        <v/>
      </c>
      <c r="D74" s="331">
        <f t="shared" si="3"/>
        <v>0</v>
      </c>
      <c r="E74" s="331">
        <f t="shared" si="4"/>
        <v>0</v>
      </c>
      <c r="G74" s="330">
        <f t="shared" si="9"/>
        <v>17</v>
      </c>
      <c r="H74" s="330" t="str">
        <f t="shared" si="5"/>
        <v/>
      </c>
      <c r="I74" s="330">
        <f t="shared" si="6"/>
        <v>0</v>
      </c>
      <c r="J74" s="330">
        <f t="shared" si="7"/>
        <v>0</v>
      </c>
    </row>
    <row r="75" spans="2:10" x14ac:dyDescent="0.2">
      <c r="B75" s="331">
        <f t="shared" si="8"/>
        <v>18</v>
      </c>
      <c r="C75" s="331" t="str">
        <f>MID(Welcome!$C$18,B75,1)</f>
        <v/>
      </c>
      <c r="D75" s="331">
        <f t="shared" si="3"/>
        <v>0</v>
      </c>
      <c r="E75" s="331">
        <f t="shared" si="4"/>
        <v>0</v>
      </c>
      <c r="G75" s="330">
        <f t="shared" si="9"/>
        <v>18</v>
      </c>
      <c r="H75" s="330" t="str">
        <f t="shared" si="5"/>
        <v/>
      </c>
      <c r="I75" s="330">
        <f t="shared" si="6"/>
        <v>0</v>
      </c>
      <c r="J75" s="330">
        <f t="shared" si="7"/>
        <v>0</v>
      </c>
    </row>
    <row r="76" spans="2:10" x14ac:dyDescent="0.2">
      <c r="B76" s="331">
        <f t="shared" si="8"/>
        <v>19</v>
      </c>
      <c r="C76" s="331" t="str">
        <f>MID(Welcome!$C$18,B76,1)</f>
        <v/>
      </c>
      <c r="D76" s="331">
        <f t="shared" si="3"/>
        <v>0</v>
      </c>
      <c r="E76" s="331">
        <f t="shared" si="4"/>
        <v>0</v>
      </c>
      <c r="G76" s="330">
        <f t="shared" si="9"/>
        <v>19</v>
      </c>
      <c r="H76" s="330" t="str">
        <f t="shared" si="5"/>
        <v/>
      </c>
      <c r="I76" s="330">
        <f t="shared" si="6"/>
        <v>0</v>
      </c>
      <c r="J76" s="330">
        <f t="shared" si="7"/>
        <v>0</v>
      </c>
    </row>
    <row r="77" spans="2:10" x14ac:dyDescent="0.2">
      <c r="B77" s="331">
        <f t="shared" si="8"/>
        <v>20</v>
      </c>
      <c r="C77" s="331" t="str">
        <f>MID(Welcome!$C$18,B77,1)</f>
        <v/>
      </c>
      <c r="D77" s="331">
        <f t="shared" si="3"/>
        <v>0</v>
      </c>
      <c r="E77" s="331">
        <f t="shared" si="4"/>
        <v>0</v>
      </c>
      <c r="G77" s="330">
        <f t="shared" si="9"/>
        <v>20</v>
      </c>
      <c r="H77" s="330" t="str">
        <f t="shared" si="5"/>
        <v/>
      </c>
      <c r="I77" s="330">
        <f t="shared" si="6"/>
        <v>0</v>
      </c>
      <c r="J77" s="330">
        <f t="shared" si="7"/>
        <v>0</v>
      </c>
    </row>
    <row r="78" spans="2:10" x14ac:dyDescent="0.2">
      <c r="B78" s="331">
        <f t="shared" si="8"/>
        <v>21</v>
      </c>
      <c r="C78" s="331" t="str">
        <f>MID(Welcome!$C$18,B78,1)</f>
        <v/>
      </c>
      <c r="D78" s="331">
        <f t="shared" si="3"/>
        <v>0</v>
      </c>
      <c r="E78" s="331">
        <f t="shared" si="4"/>
        <v>0</v>
      </c>
      <c r="G78" s="330">
        <f t="shared" si="9"/>
        <v>21</v>
      </c>
      <c r="H78" s="330" t="str">
        <f t="shared" si="5"/>
        <v/>
      </c>
      <c r="I78" s="330">
        <f t="shared" si="6"/>
        <v>0</v>
      </c>
      <c r="J78" s="330">
        <f t="shared" si="7"/>
        <v>0</v>
      </c>
    </row>
    <row r="79" spans="2:10" x14ac:dyDescent="0.2">
      <c r="B79" s="331">
        <f t="shared" si="8"/>
        <v>22</v>
      </c>
      <c r="C79" s="331" t="str">
        <f>MID(Welcome!$C$18,B79,1)</f>
        <v/>
      </c>
      <c r="D79" s="331">
        <f t="shared" si="3"/>
        <v>0</v>
      </c>
      <c r="E79" s="331">
        <f t="shared" si="4"/>
        <v>0</v>
      </c>
      <c r="G79" s="330">
        <f t="shared" si="9"/>
        <v>22</v>
      </c>
      <c r="H79" s="330" t="str">
        <f t="shared" si="5"/>
        <v/>
      </c>
      <c r="I79" s="330">
        <f t="shared" si="6"/>
        <v>0</v>
      </c>
      <c r="J79" s="330">
        <f t="shared" si="7"/>
        <v>0</v>
      </c>
    </row>
    <row r="80" spans="2:10" x14ac:dyDescent="0.2">
      <c r="B80" s="331">
        <f t="shared" si="8"/>
        <v>23</v>
      </c>
      <c r="C80" s="331" t="str">
        <f>MID(Welcome!$C$18,B80,1)</f>
        <v/>
      </c>
      <c r="D80" s="331">
        <f t="shared" si="3"/>
        <v>0</v>
      </c>
      <c r="E80" s="331">
        <f t="shared" si="4"/>
        <v>0</v>
      </c>
      <c r="G80" s="330">
        <f t="shared" si="9"/>
        <v>23</v>
      </c>
      <c r="H80" s="330" t="str">
        <f t="shared" si="5"/>
        <v/>
      </c>
      <c r="I80" s="330">
        <f t="shared" si="6"/>
        <v>0</v>
      </c>
      <c r="J80" s="330">
        <f t="shared" si="7"/>
        <v>0</v>
      </c>
    </row>
    <row r="81" spans="2:10" x14ac:dyDescent="0.2">
      <c r="B81" s="331">
        <f t="shared" si="8"/>
        <v>24</v>
      </c>
      <c r="C81" s="331" t="str">
        <f>MID(Welcome!$C$18,B81,1)</f>
        <v/>
      </c>
      <c r="D81" s="331">
        <f t="shared" si="3"/>
        <v>0</v>
      </c>
      <c r="E81" s="331">
        <f t="shared" si="4"/>
        <v>0</v>
      </c>
      <c r="G81" s="330">
        <f t="shared" si="9"/>
        <v>24</v>
      </c>
      <c r="H81" s="330" t="str">
        <f t="shared" si="5"/>
        <v/>
      </c>
      <c r="I81" s="330">
        <f t="shared" si="6"/>
        <v>0</v>
      </c>
      <c r="J81" s="330">
        <f t="shared" si="7"/>
        <v>0</v>
      </c>
    </row>
    <row r="82" spans="2:10" x14ac:dyDescent="0.2">
      <c r="B82" s="331">
        <f t="shared" si="8"/>
        <v>25</v>
      </c>
      <c r="C82" s="331" t="str">
        <f>MID(Welcome!$C$18,B82,1)</f>
        <v/>
      </c>
      <c r="D82" s="331">
        <f t="shared" si="3"/>
        <v>0</v>
      </c>
      <c r="E82" s="331">
        <f t="shared" si="4"/>
        <v>0</v>
      </c>
      <c r="G82" s="330">
        <f t="shared" si="9"/>
        <v>25</v>
      </c>
      <c r="H82" s="330" t="str">
        <f t="shared" si="5"/>
        <v/>
      </c>
      <c r="I82" s="330">
        <f t="shared" si="6"/>
        <v>0</v>
      </c>
      <c r="J82" s="330">
        <f t="shared" si="7"/>
        <v>0</v>
      </c>
    </row>
    <row r="83" spans="2:10" x14ac:dyDescent="0.2">
      <c r="B83" s="331">
        <f t="shared" si="8"/>
        <v>26</v>
      </c>
      <c r="C83" s="331" t="str">
        <f>MID(Welcome!$C$18,B83,1)</f>
        <v/>
      </c>
      <c r="D83" s="331">
        <f t="shared" si="3"/>
        <v>0</v>
      </c>
      <c r="E83" s="331">
        <f t="shared" si="4"/>
        <v>0</v>
      </c>
      <c r="G83" s="330">
        <f t="shared" si="9"/>
        <v>26</v>
      </c>
      <c r="H83" s="330" t="str">
        <f t="shared" si="5"/>
        <v/>
      </c>
      <c r="I83" s="330">
        <f t="shared" si="6"/>
        <v>0</v>
      </c>
      <c r="J83" s="330">
        <f t="shared" si="7"/>
        <v>0</v>
      </c>
    </row>
    <row r="84" spans="2:10" x14ac:dyDescent="0.2">
      <c r="B84" s="331">
        <f t="shared" si="8"/>
        <v>27</v>
      </c>
      <c r="C84" s="331" t="str">
        <f>MID(Welcome!$C$18,B84,1)</f>
        <v/>
      </c>
      <c r="D84" s="331">
        <f t="shared" si="3"/>
        <v>0</v>
      </c>
      <c r="E84" s="331">
        <f t="shared" si="4"/>
        <v>0</v>
      </c>
      <c r="G84" s="330">
        <f t="shared" si="9"/>
        <v>27</v>
      </c>
      <c r="H84" s="330" t="str">
        <f t="shared" si="5"/>
        <v/>
      </c>
      <c r="I84" s="330">
        <f t="shared" si="6"/>
        <v>0</v>
      </c>
      <c r="J84" s="330">
        <f t="shared" si="7"/>
        <v>0</v>
      </c>
    </row>
    <row r="85" spans="2:10" x14ac:dyDescent="0.2">
      <c r="B85" s="331">
        <f t="shared" si="8"/>
        <v>28</v>
      </c>
      <c r="C85" s="331" t="str">
        <f>MID(Welcome!$C$18,B85,1)</f>
        <v/>
      </c>
      <c r="D85" s="331">
        <f t="shared" si="3"/>
        <v>0</v>
      </c>
      <c r="E85" s="331">
        <f t="shared" si="4"/>
        <v>0</v>
      </c>
      <c r="G85" s="330">
        <f t="shared" si="9"/>
        <v>28</v>
      </c>
      <c r="H85" s="330" t="str">
        <f t="shared" si="5"/>
        <v/>
      </c>
      <c r="I85" s="330">
        <f t="shared" si="6"/>
        <v>0</v>
      </c>
      <c r="J85" s="330">
        <f t="shared" si="7"/>
        <v>0</v>
      </c>
    </row>
    <row r="86" spans="2:10" x14ac:dyDescent="0.2">
      <c r="B86" s="331">
        <f t="shared" si="8"/>
        <v>29</v>
      </c>
      <c r="C86" s="331" t="str">
        <f>MID(Welcome!$C$18,B86,1)</f>
        <v/>
      </c>
      <c r="D86" s="331">
        <f t="shared" si="3"/>
        <v>0</v>
      </c>
      <c r="E86" s="331">
        <f t="shared" si="4"/>
        <v>0</v>
      </c>
      <c r="G86" s="330">
        <f t="shared" si="9"/>
        <v>29</v>
      </c>
      <c r="H86" s="330" t="str">
        <f t="shared" si="5"/>
        <v/>
      </c>
      <c r="I86" s="330">
        <f t="shared" si="6"/>
        <v>0</v>
      </c>
      <c r="J86" s="330">
        <f t="shared" si="7"/>
        <v>0</v>
      </c>
    </row>
    <row r="87" spans="2:10" x14ac:dyDescent="0.2">
      <c r="B87" s="331">
        <f t="shared" si="8"/>
        <v>30</v>
      </c>
      <c r="C87" s="331" t="str">
        <f>MID(Welcome!$C$18,B87,1)</f>
        <v/>
      </c>
      <c r="D87" s="331">
        <f t="shared" si="3"/>
        <v>0</v>
      </c>
      <c r="E87" s="331">
        <f t="shared" si="4"/>
        <v>0</v>
      </c>
      <c r="G87" s="330">
        <f t="shared" si="9"/>
        <v>30</v>
      </c>
      <c r="H87" s="330" t="str">
        <f t="shared" si="5"/>
        <v/>
      </c>
      <c r="I87" s="330">
        <f t="shared" si="6"/>
        <v>0</v>
      </c>
      <c r="J87" s="330">
        <f t="shared" si="7"/>
        <v>0</v>
      </c>
    </row>
    <row r="88" spans="2:10" x14ac:dyDescent="0.2">
      <c r="B88" s="331">
        <f t="shared" si="8"/>
        <v>31</v>
      </c>
      <c r="C88" s="331" t="str">
        <f>MID(Welcome!$C$18,B88,1)</f>
        <v/>
      </c>
      <c r="D88" s="331">
        <f t="shared" si="3"/>
        <v>0</v>
      </c>
      <c r="E88" s="331">
        <f t="shared" si="4"/>
        <v>0</v>
      </c>
      <c r="G88" s="330">
        <f t="shared" si="9"/>
        <v>31</v>
      </c>
      <c r="H88" s="330" t="str">
        <f t="shared" si="5"/>
        <v/>
      </c>
      <c r="I88" s="330">
        <f t="shared" si="6"/>
        <v>0</v>
      </c>
      <c r="J88" s="330">
        <f t="shared" si="7"/>
        <v>0</v>
      </c>
    </row>
    <row r="89" spans="2:10" x14ac:dyDescent="0.2">
      <c r="B89" s="331">
        <f t="shared" si="8"/>
        <v>32</v>
      </c>
      <c r="C89" s="331" t="str">
        <f>MID(Welcome!$C$18,B89,1)</f>
        <v/>
      </c>
      <c r="D89" s="331">
        <f t="shared" si="3"/>
        <v>0</v>
      </c>
      <c r="E89" s="331">
        <f t="shared" si="4"/>
        <v>0</v>
      </c>
      <c r="G89" s="330">
        <f t="shared" si="9"/>
        <v>32</v>
      </c>
      <c r="H89" s="330" t="str">
        <f t="shared" si="5"/>
        <v/>
      </c>
      <c r="I89" s="330">
        <f t="shared" si="6"/>
        <v>0</v>
      </c>
      <c r="J89" s="330">
        <f t="shared" si="7"/>
        <v>0</v>
      </c>
    </row>
    <row r="90" spans="2:10" x14ac:dyDescent="0.2">
      <c r="B90" s="331">
        <f t="shared" si="8"/>
        <v>33</v>
      </c>
      <c r="C90" s="331" t="str">
        <f>MID(Welcome!$C$18,B90,1)</f>
        <v/>
      </c>
      <c r="D90" s="331">
        <f t="shared" si="3"/>
        <v>0</v>
      </c>
      <c r="E90" s="331">
        <f t="shared" si="4"/>
        <v>0</v>
      </c>
      <c r="G90" s="330">
        <f t="shared" si="9"/>
        <v>33</v>
      </c>
      <c r="H90" s="330" t="str">
        <f t="shared" si="5"/>
        <v/>
      </c>
      <c r="I90" s="330">
        <f t="shared" si="6"/>
        <v>0</v>
      </c>
      <c r="J90" s="330">
        <f t="shared" si="7"/>
        <v>0</v>
      </c>
    </row>
    <row r="91" spans="2:10" x14ac:dyDescent="0.2">
      <c r="B91" s="331">
        <f t="shared" si="8"/>
        <v>34</v>
      </c>
      <c r="C91" s="331" t="str">
        <f>MID(Welcome!$C$18,B91,1)</f>
        <v/>
      </c>
      <c r="D91" s="331">
        <f t="shared" si="3"/>
        <v>0</v>
      </c>
      <c r="E91" s="331">
        <f t="shared" si="4"/>
        <v>0</v>
      </c>
      <c r="G91" s="330">
        <f t="shared" si="9"/>
        <v>34</v>
      </c>
      <c r="H91" s="330" t="str">
        <f t="shared" si="5"/>
        <v/>
      </c>
      <c r="I91" s="330">
        <f t="shared" si="6"/>
        <v>0</v>
      </c>
      <c r="J91" s="330">
        <f t="shared" si="7"/>
        <v>0</v>
      </c>
    </row>
    <row r="92" spans="2:10" x14ac:dyDescent="0.2">
      <c r="B92" s="331">
        <f t="shared" si="8"/>
        <v>35</v>
      </c>
      <c r="C92" s="331" t="str">
        <f>MID(Welcome!$C$18,B92,1)</f>
        <v/>
      </c>
      <c r="D92" s="331">
        <f t="shared" si="3"/>
        <v>0</v>
      </c>
      <c r="E92" s="331">
        <f t="shared" si="4"/>
        <v>0</v>
      </c>
      <c r="G92" s="330">
        <f t="shared" si="9"/>
        <v>35</v>
      </c>
      <c r="H92" s="330" t="str">
        <f t="shared" si="5"/>
        <v/>
      </c>
      <c r="I92" s="330">
        <f t="shared" si="6"/>
        <v>0</v>
      </c>
      <c r="J92" s="330">
        <f t="shared" si="7"/>
        <v>0</v>
      </c>
    </row>
    <row r="93" spans="2:10" x14ac:dyDescent="0.2">
      <c r="B93" s="331">
        <f t="shared" si="8"/>
        <v>36</v>
      </c>
      <c r="C93" s="331" t="str">
        <f>MID(Welcome!$C$18,B93,1)</f>
        <v/>
      </c>
      <c r="D93" s="331">
        <f t="shared" si="3"/>
        <v>0</v>
      </c>
      <c r="E93" s="331">
        <f t="shared" si="4"/>
        <v>0</v>
      </c>
      <c r="G93" s="330">
        <f t="shared" si="9"/>
        <v>36</v>
      </c>
      <c r="H93" s="330" t="str">
        <f t="shared" si="5"/>
        <v/>
      </c>
      <c r="I93" s="330">
        <f t="shared" si="6"/>
        <v>0</v>
      </c>
      <c r="J93" s="330">
        <f t="shared" si="7"/>
        <v>0</v>
      </c>
    </row>
    <row r="94" spans="2:10" x14ac:dyDescent="0.2">
      <c r="B94" s="331">
        <f t="shared" si="8"/>
        <v>37</v>
      </c>
      <c r="C94" s="331" t="str">
        <f>MID(Welcome!$C$18,B94,1)</f>
        <v/>
      </c>
      <c r="D94" s="331">
        <f t="shared" si="3"/>
        <v>0</v>
      </c>
      <c r="E94" s="331">
        <f t="shared" si="4"/>
        <v>0</v>
      </c>
      <c r="G94" s="330">
        <f t="shared" si="9"/>
        <v>37</v>
      </c>
      <c r="H94" s="330" t="str">
        <f t="shared" si="5"/>
        <v/>
      </c>
      <c r="I94" s="330">
        <f t="shared" si="6"/>
        <v>0</v>
      </c>
      <c r="J94" s="330">
        <f t="shared" si="7"/>
        <v>0</v>
      </c>
    </row>
    <row r="95" spans="2:10" x14ac:dyDescent="0.2">
      <c r="B95" s="331">
        <f t="shared" si="8"/>
        <v>38</v>
      </c>
      <c r="C95" s="331" t="str">
        <f>MID(Welcome!$C$18,B95,1)</f>
        <v/>
      </c>
      <c r="D95" s="331">
        <f t="shared" si="3"/>
        <v>0</v>
      </c>
      <c r="E95" s="331">
        <f t="shared" si="4"/>
        <v>0</v>
      </c>
      <c r="G95" s="330">
        <f t="shared" si="9"/>
        <v>38</v>
      </c>
      <c r="H95" s="330" t="str">
        <f t="shared" si="5"/>
        <v/>
      </c>
      <c r="I95" s="330">
        <f t="shared" si="6"/>
        <v>0</v>
      </c>
      <c r="J95" s="330">
        <f t="shared" si="7"/>
        <v>0</v>
      </c>
    </row>
    <row r="96" spans="2:10" x14ac:dyDescent="0.2">
      <c r="B96" s="331">
        <f t="shared" si="8"/>
        <v>39</v>
      </c>
      <c r="C96" s="331" t="str">
        <f>MID(Welcome!$C$18,B96,1)</f>
        <v/>
      </c>
      <c r="D96" s="331">
        <f t="shared" si="3"/>
        <v>0</v>
      </c>
      <c r="E96" s="331">
        <f t="shared" si="4"/>
        <v>0</v>
      </c>
      <c r="G96" s="330">
        <f t="shared" si="9"/>
        <v>39</v>
      </c>
      <c r="H96" s="330" t="str">
        <f t="shared" si="5"/>
        <v/>
      </c>
      <c r="I96" s="330">
        <f t="shared" si="6"/>
        <v>0</v>
      </c>
      <c r="J96" s="330">
        <f t="shared" si="7"/>
        <v>0</v>
      </c>
    </row>
    <row r="97" spans="2:10" x14ac:dyDescent="0.2">
      <c r="B97" s="331">
        <f t="shared" si="8"/>
        <v>40</v>
      </c>
      <c r="C97" s="331" t="str">
        <f>MID(Welcome!$C$18,B97,1)</f>
        <v/>
      </c>
      <c r="D97" s="331">
        <f t="shared" si="3"/>
        <v>0</v>
      </c>
      <c r="E97" s="331">
        <f t="shared" si="4"/>
        <v>0</v>
      </c>
      <c r="G97" s="330">
        <f t="shared" si="9"/>
        <v>40</v>
      </c>
      <c r="H97" s="330" t="str">
        <f t="shared" si="5"/>
        <v/>
      </c>
      <c r="I97" s="330">
        <f t="shared" si="6"/>
        <v>0</v>
      </c>
      <c r="J97" s="330">
        <f t="shared" si="7"/>
        <v>0</v>
      </c>
    </row>
    <row r="98" spans="2:10" x14ac:dyDescent="0.2">
      <c r="B98" s="331">
        <f t="shared" si="8"/>
        <v>41</v>
      </c>
      <c r="C98" s="331" t="str">
        <f>MID(Welcome!$C$18,B98,1)</f>
        <v/>
      </c>
      <c r="D98" s="331">
        <f t="shared" si="3"/>
        <v>0</v>
      </c>
      <c r="E98" s="331">
        <f t="shared" si="4"/>
        <v>0</v>
      </c>
      <c r="G98" s="330">
        <f t="shared" si="9"/>
        <v>41</v>
      </c>
      <c r="H98" s="330" t="str">
        <f t="shared" si="5"/>
        <v/>
      </c>
      <c r="I98" s="330">
        <f t="shared" si="6"/>
        <v>0</v>
      </c>
      <c r="J98" s="330">
        <f t="shared" si="7"/>
        <v>0</v>
      </c>
    </row>
    <row r="99" spans="2:10" x14ac:dyDescent="0.2">
      <c r="B99" s="331">
        <f t="shared" si="8"/>
        <v>42</v>
      </c>
      <c r="C99" s="331" t="str">
        <f>MID(Welcome!$C$18,B99,1)</f>
        <v/>
      </c>
      <c r="D99" s="331">
        <f t="shared" si="3"/>
        <v>0</v>
      </c>
      <c r="E99" s="331">
        <f t="shared" si="4"/>
        <v>0</v>
      </c>
      <c r="G99" s="330">
        <f t="shared" si="9"/>
        <v>42</v>
      </c>
      <c r="H99" s="330" t="str">
        <f t="shared" si="5"/>
        <v/>
      </c>
      <c r="I99" s="330">
        <f t="shared" si="6"/>
        <v>0</v>
      </c>
      <c r="J99" s="330">
        <f t="shared" si="7"/>
        <v>0</v>
      </c>
    </row>
    <row r="100" spans="2:10" x14ac:dyDescent="0.2">
      <c r="B100" s="331">
        <f t="shared" si="8"/>
        <v>43</v>
      </c>
      <c r="C100" s="331" t="str">
        <f>MID(Welcome!$C$18,B100,1)</f>
        <v/>
      </c>
      <c r="D100" s="331">
        <f t="shared" si="3"/>
        <v>0</v>
      </c>
      <c r="E100" s="331">
        <f t="shared" si="4"/>
        <v>0</v>
      </c>
      <c r="G100" s="330">
        <f t="shared" si="9"/>
        <v>43</v>
      </c>
      <c r="H100" s="330" t="str">
        <f t="shared" si="5"/>
        <v/>
      </c>
      <c r="I100" s="330">
        <f t="shared" si="6"/>
        <v>0</v>
      </c>
      <c r="J100" s="330">
        <f t="shared" si="7"/>
        <v>0</v>
      </c>
    </row>
    <row r="101" spans="2:10" x14ac:dyDescent="0.2">
      <c r="B101" s="331">
        <f t="shared" si="8"/>
        <v>44</v>
      </c>
      <c r="C101" s="331" t="str">
        <f>MID(Welcome!$C$18,B101,1)</f>
        <v/>
      </c>
      <c r="D101" s="331">
        <f t="shared" si="3"/>
        <v>0</v>
      </c>
      <c r="E101" s="331">
        <f t="shared" si="4"/>
        <v>0</v>
      </c>
      <c r="G101" s="330">
        <f t="shared" si="9"/>
        <v>44</v>
      </c>
      <c r="H101" s="330" t="str">
        <f t="shared" si="5"/>
        <v/>
      </c>
      <c r="I101" s="330">
        <f t="shared" si="6"/>
        <v>0</v>
      </c>
      <c r="J101" s="330">
        <f t="shared" si="7"/>
        <v>0</v>
      </c>
    </row>
    <row r="102" spans="2:10" x14ac:dyDescent="0.2">
      <c r="B102" s="331">
        <f t="shared" si="8"/>
        <v>45</v>
      </c>
      <c r="C102" s="331" t="str">
        <f>MID(Welcome!$C$18,B102,1)</f>
        <v/>
      </c>
      <c r="D102" s="331">
        <f t="shared" si="3"/>
        <v>0</v>
      </c>
      <c r="E102" s="331">
        <f t="shared" si="4"/>
        <v>0</v>
      </c>
      <c r="G102" s="330">
        <f t="shared" si="9"/>
        <v>45</v>
      </c>
      <c r="H102" s="330" t="str">
        <f t="shared" si="5"/>
        <v/>
      </c>
      <c r="I102" s="330">
        <f t="shared" si="6"/>
        <v>0</v>
      </c>
      <c r="J102" s="330">
        <f t="shared" si="7"/>
        <v>0</v>
      </c>
    </row>
    <row r="103" spans="2:10" x14ac:dyDescent="0.2">
      <c r="B103" s="331">
        <f t="shared" si="8"/>
        <v>46</v>
      </c>
      <c r="C103" s="331" t="str">
        <f>MID(Welcome!$C$18,B103,1)</f>
        <v/>
      </c>
      <c r="D103" s="331">
        <f t="shared" si="3"/>
        <v>0</v>
      </c>
      <c r="E103" s="331">
        <f t="shared" si="4"/>
        <v>0</v>
      </c>
      <c r="G103" s="330">
        <f t="shared" si="9"/>
        <v>46</v>
      </c>
      <c r="H103" s="330" t="str">
        <f t="shared" si="5"/>
        <v/>
      </c>
      <c r="I103" s="330">
        <f t="shared" si="6"/>
        <v>0</v>
      </c>
      <c r="J103" s="330">
        <f t="shared" si="7"/>
        <v>0</v>
      </c>
    </row>
    <row r="104" spans="2:10" x14ac:dyDescent="0.2">
      <c r="B104" s="331">
        <f t="shared" si="8"/>
        <v>47</v>
      </c>
      <c r="C104" s="331" t="str">
        <f>MID(Welcome!$C$18,B104,1)</f>
        <v/>
      </c>
      <c r="D104" s="331">
        <f t="shared" si="3"/>
        <v>0</v>
      </c>
      <c r="E104" s="331">
        <f t="shared" si="4"/>
        <v>0</v>
      </c>
      <c r="G104" s="330">
        <f t="shared" si="9"/>
        <v>47</v>
      </c>
      <c r="H104" s="330" t="str">
        <f t="shared" si="5"/>
        <v/>
      </c>
      <c r="I104" s="330">
        <f t="shared" si="6"/>
        <v>0</v>
      </c>
      <c r="J104" s="330">
        <f t="shared" si="7"/>
        <v>0</v>
      </c>
    </row>
    <row r="105" spans="2:10" x14ac:dyDescent="0.2">
      <c r="B105" s="331">
        <f t="shared" si="8"/>
        <v>48</v>
      </c>
      <c r="C105" s="331" t="str">
        <f>MID(Welcome!$C$18,B105,1)</f>
        <v/>
      </c>
      <c r="D105" s="331">
        <f t="shared" si="3"/>
        <v>0</v>
      </c>
      <c r="E105" s="331">
        <f t="shared" si="4"/>
        <v>0</v>
      </c>
      <c r="G105" s="330">
        <f t="shared" si="9"/>
        <v>48</v>
      </c>
      <c r="H105" s="330" t="str">
        <f t="shared" si="5"/>
        <v/>
      </c>
      <c r="I105" s="330">
        <f t="shared" si="6"/>
        <v>0</v>
      </c>
      <c r="J105" s="330">
        <f t="shared" si="7"/>
        <v>0</v>
      </c>
    </row>
    <row r="106" spans="2:10" x14ac:dyDescent="0.2">
      <c r="B106" s="331">
        <f t="shared" si="8"/>
        <v>49</v>
      </c>
      <c r="C106" s="331" t="str">
        <f>MID(Welcome!$C$18,B106,1)</f>
        <v/>
      </c>
      <c r="D106" s="331">
        <f t="shared" si="3"/>
        <v>0</v>
      </c>
      <c r="E106" s="331">
        <f t="shared" si="4"/>
        <v>0</v>
      </c>
      <c r="G106" s="330">
        <f t="shared" si="9"/>
        <v>49</v>
      </c>
      <c r="H106" s="330" t="str">
        <f t="shared" si="5"/>
        <v/>
      </c>
      <c r="I106" s="330">
        <f t="shared" si="6"/>
        <v>0</v>
      </c>
      <c r="J106" s="330">
        <f t="shared" si="7"/>
        <v>0</v>
      </c>
    </row>
    <row r="107" spans="2:10" x14ac:dyDescent="0.2">
      <c r="B107" s="331">
        <f t="shared" si="8"/>
        <v>50</v>
      </c>
      <c r="C107" s="331" t="str">
        <f>MID(Welcome!$C$18,B107,1)</f>
        <v/>
      </c>
      <c r="D107" s="331">
        <f t="shared" si="3"/>
        <v>0</v>
      </c>
      <c r="E107" s="331">
        <f t="shared" si="4"/>
        <v>0</v>
      </c>
      <c r="G107" s="330">
        <f t="shared" si="9"/>
        <v>50</v>
      </c>
      <c r="H107" s="330" t="str">
        <f t="shared" si="5"/>
        <v/>
      </c>
      <c r="I107" s="330">
        <f t="shared" si="6"/>
        <v>0</v>
      </c>
      <c r="J107" s="330">
        <f t="shared" si="7"/>
        <v>0</v>
      </c>
    </row>
  </sheetData>
  <sheetProtection algorithmName="SHA-512" hashValue="36McDi8Nd2hzAmjhTgTumKkAYbygtwLplVo0XzAAzOpNn6GzyNY1zPg7BDPZCdRs9X8wyGAtPTqB1ykfURqLWw==" saltValue="s3lgzxGFOD0EC2aFTMLAQQ==" spinCount="100000" sheet="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autoPageBreaks="0" fitToPage="1"/>
  </sheetPr>
  <dimension ref="A1:H87"/>
  <sheetViews>
    <sheetView showGridLines="0" topLeftCell="A4" zoomScaleNormal="100" workbookViewId="0">
      <selection activeCell="A4" sqref="A4"/>
    </sheetView>
  </sheetViews>
  <sheetFormatPr defaultRowHeight="12.5" x14ac:dyDescent="0.25"/>
  <cols>
    <col min="1" max="1" width="2" customWidth="1"/>
    <col min="2" max="2" width="35.1796875" customWidth="1"/>
    <col min="3" max="3" width="11.54296875" customWidth="1"/>
    <col min="4" max="4" width="11.26953125" customWidth="1"/>
    <col min="5" max="5" width="10.7265625" customWidth="1"/>
    <col min="6" max="6" width="35" customWidth="1"/>
    <col min="7" max="7" width="2.1796875" customWidth="1"/>
  </cols>
  <sheetData>
    <row r="1" spans="1:8" ht="3.75" hidden="1" customHeight="1" x14ac:dyDescent="0.25">
      <c r="A1" s="105"/>
      <c r="B1" s="105"/>
      <c r="C1" s="105"/>
      <c r="D1" s="105"/>
      <c r="E1" s="105"/>
      <c r="F1" s="105"/>
      <c r="G1" s="105"/>
      <c r="H1" s="105"/>
    </row>
    <row r="2" spans="1:8" ht="3.75" hidden="1" customHeight="1" x14ac:dyDescent="0.25">
      <c r="A2" s="105"/>
      <c r="B2" s="105"/>
      <c r="C2" s="105"/>
      <c r="D2" s="364"/>
      <c r="E2" s="364"/>
      <c r="F2" s="362"/>
      <c r="G2" s="105"/>
      <c r="H2" s="105"/>
    </row>
    <row r="3" spans="1:8" ht="3.75" hidden="1" customHeight="1" x14ac:dyDescent="0.25">
      <c r="A3" s="105"/>
      <c r="B3" s="105"/>
      <c r="C3" s="105"/>
      <c r="D3" s="364"/>
      <c r="E3" s="365"/>
      <c r="F3" s="362"/>
      <c r="G3" s="105"/>
      <c r="H3" s="105"/>
    </row>
    <row r="4" spans="1:8" ht="25.5" customHeight="1" x14ac:dyDescent="0.25">
      <c r="A4" s="105"/>
      <c r="B4" s="371" t="str">
        <f ca="1">scratch!B50</f>
        <v>Not Licensed, for Evaluation Only. In Evaluation Mode some results are Locked and not calculated.</v>
      </c>
      <c r="C4" s="371"/>
      <c r="D4" s="371"/>
      <c r="E4" s="371"/>
      <c r="F4" s="371"/>
      <c r="G4" s="105"/>
      <c r="H4" s="105"/>
    </row>
    <row r="5" spans="1:8" ht="13" x14ac:dyDescent="0.25">
      <c r="A5" s="105"/>
      <c r="B5" s="366" t="str">
        <f xml:space="preserve"> "Input - " &amp; title</f>
        <v>Input - Business Valuation</v>
      </c>
      <c r="C5" s="367"/>
      <c r="D5" s="368"/>
      <c r="E5" s="368"/>
      <c r="F5" s="369"/>
      <c r="G5" s="105"/>
      <c r="H5" s="105"/>
    </row>
    <row r="6" spans="1:8" x14ac:dyDescent="0.25">
      <c r="A6" s="105"/>
      <c r="B6" s="370" t="s">
        <v>216</v>
      </c>
      <c r="C6" s="365"/>
      <c r="D6" s="365"/>
      <c r="E6" s="365"/>
      <c r="F6" s="359"/>
      <c r="G6" s="105"/>
      <c r="H6" s="105"/>
    </row>
    <row r="7" spans="1:8" x14ac:dyDescent="0.25">
      <c r="A7" s="105"/>
      <c r="B7" s="372" t="s">
        <v>146</v>
      </c>
      <c r="C7" s="373"/>
      <c r="D7" s="373"/>
      <c r="E7" s="373"/>
      <c r="F7" s="374"/>
      <c r="G7" s="105"/>
      <c r="H7" s="105"/>
    </row>
    <row r="8" spans="1:8" x14ac:dyDescent="0.25">
      <c r="A8" s="105"/>
      <c r="B8" s="106"/>
      <c r="C8" s="124"/>
      <c r="D8" s="124"/>
      <c r="E8" s="124"/>
      <c r="F8" s="110"/>
      <c r="G8" s="105"/>
      <c r="H8" s="105"/>
    </row>
    <row r="9" spans="1:8" ht="13" x14ac:dyDescent="0.3">
      <c r="A9" s="105"/>
      <c r="B9" s="353" t="s">
        <v>189</v>
      </c>
      <c r="C9" s="354"/>
      <c r="D9" s="361" t="s">
        <v>81</v>
      </c>
      <c r="E9" s="362"/>
      <c r="F9" s="363"/>
      <c r="G9" s="105"/>
      <c r="H9" s="105"/>
    </row>
    <row r="10" spans="1:8" ht="13" x14ac:dyDescent="0.25">
      <c r="A10" s="105"/>
      <c r="B10" s="107"/>
      <c r="C10" s="105"/>
      <c r="D10" s="119"/>
      <c r="E10" s="105"/>
      <c r="F10" s="121"/>
      <c r="G10" s="105"/>
      <c r="H10" s="105"/>
    </row>
    <row r="11" spans="1:8" x14ac:dyDescent="0.25">
      <c r="A11" s="105"/>
      <c r="B11" s="108" t="s">
        <v>82</v>
      </c>
      <c r="C11" s="375" t="s">
        <v>171</v>
      </c>
      <c r="D11" s="375"/>
      <c r="E11" s="375"/>
      <c r="F11" s="121" t="s">
        <v>77</v>
      </c>
      <c r="G11" s="105"/>
      <c r="H11" s="105"/>
    </row>
    <row r="12" spans="1:8" ht="12.75" customHeight="1" x14ac:dyDescent="0.25">
      <c r="A12" s="105"/>
      <c r="B12" s="353"/>
      <c r="C12" s="358"/>
      <c r="D12" s="358"/>
      <c r="E12" s="358"/>
      <c r="F12" s="359"/>
      <c r="G12" s="105"/>
      <c r="H12" s="105"/>
    </row>
    <row r="13" spans="1:8" ht="12.75" customHeight="1" x14ac:dyDescent="0.25">
      <c r="A13" s="105"/>
      <c r="B13" s="293" t="s">
        <v>15</v>
      </c>
      <c r="C13" s="311">
        <v>500000</v>
      </c>
      <c r="D13" s="360" t="s">
        <v>69</v>
      </c>
      <c r="E13" s="358"/>
      <c r="F13" s="359"/>
      <c r="G13" s="105"/>
      <c r="H13" s="105"/>
    </row>
    <row r="14" spans="1:8" ht="12.75" customHeight="1" x14ac:dyDescent="0.25">
      <c r="A14" s="105"/>
      <c r="B14" s="355" t="str">
        <f ca="1">IF(scratch!$B$55=TRUE,"","In evaluation mode Business Revenue applied in Calculation sheets is locked to the Example value of "&amp;scratch!C52&amp;".")</f>
        <v>In evaluation mode Business Revenue applied in Calculation sheets is locked to the Example value of 500000.</v>
      </c>
      <c r="C14" s="356"/>
      <c r="D14" s="356"/>
      <c r="E14" s="356"/>
      <c r="F14" s="357"/>
      <c r="G14" s="105"/>
      <c r="H14" s="105"/>
    </row>
    <row r="15" spans="1:8" ht="13" x14ac:dyDescent="0.25">
      <c r="A15" s="105"/>
      <c r="B15" s="293" t="s">
        <v>16</v>
      </c>
      <c r="C15" s="312" t="s">
        <v>68</v>
      </c>
      <c r="D15" s="126" t="str">
        <f>+IF(C15=B86,B87,B86)</f>
        <v>Percent</v>
      </c>
      <c r="E15" s="351" t="s">
        <v>74</v>
      </c>
      <c r="F15" s="352"/>
      <c r="G15" s="105"/>
      <c r="H15" s="105"/>
    </row>
    <row r="16" spans="1:8" ht="13" x14ac:dyDescent="0.25">
      <c r="A16" s="105"/>
      <c r="B16" s="293" t="s">
        <v>198</v>
      </c>
      <c r="C16" s="127"/>
      <c r="D16" s="128"/>
      <c r="E16" s="351" t="s">
        <v>73</v>
      </c>
      <c r="F16" s="352"/>
      <c r="G16" s="105"/>
      <c r="H16" s="105"/>
    </row>
    <row r="17" spans="1:8" x14ac:dyDescent="0.25">
      <c r="A17" s="105"/>
      <c r="B17" s="294" t="s">
        <v>239</v>
      </c>
      <c r="C17" s="313">
        <v>10000</v>
      </c>
      <c r="D17" s="129">
        <f t="shared" ref="D17:D23" si="0">+IF(D$15=B$87,C17/C$13*100,C17/100*C$13)</f>
        <v>2</v>
      </c>
      <c r="E17" s="351" t="s">
        <v>101</v>
      </c>
      <c r="F17" s="352"/>
      <c r="G17" s="105"/>
      <c r="H17" s="105"/>
    </row>
    <row r="18" spans="1:8" x14ac:dyDescent="0.25">
      <c r="A18" s="105"/>
      <c r="B18" s="294" t="s">
        <v>57</v>
      </c>
      <c r="C18" s="313">
        <v>200000</v>
      </c>
      <c r="D18" s="129">
        <f t="shared" si="0"/>
        <v>40</v>
      </c>
      <c r="E18" s="351" t="s">
        <v>71</v>
      </c>
      <c r="F18" s="352"/>
      <c r="G18" s="105"/>
      <c r="H18" s="105"/>
    </row>
    <row r="19" spans="1:8" x14ac:dyDescent="0.25">
      <c r="A19" s="105"/>
      <c r="B19" s="294" t="s">
        <v>59</v>
      </c>
      <c r="C19" s="313">
        <v>50000</v>
      </c>
      <c r="D19" s="129">
        <f t="shared" si="0"/>
        <v>10</v>
      </c>
      <c r="E19" s="351" t="s">
        <v>70</v>
      </c>
      <c r="F19" s="352"/>
      <c r="G19" s="105"/>
      <c r="H19" s="105"/>
    </row>
    <row r="20" spans="1:8" x14ac:dyDescent="0.25">
      <c r="A20" s="105"/>
      <c r="B20" s="294" t="s">
        <v>240</v>
      </c>
      <c r="C20" s="313">
        <v>20000</v>
      </c>
      <c r="D20" s="129">
        <f t="shared" si="0"/>
        <v>4</v>
      </c>
      <c r="E20" s="351" t="s">
        <v>75</v>
      </c>
      <c r="F20" s="352"/>
      <c r="G20" s="105"/>
      <c r="H20" s="105"/>
    </row>
    <row r="21" spans="1:8" x14ac:dyDescent="0.25">
      <c r="A21" s="105"/>
      <c r="B21" s="294" t="s">
        <v>241</v>
      </c>
      <c r="C21" s="313">
        <v>10000</v>
      </c>
      <c r="D21" s="129">
        <f t="shared" si="0"/>
        <v>2</v>
      </c>
      <c r="E21" s="351" t="s">
        <v>72</v>
      </c>
      <c r="F21" s="352"/>
      <c r="G21" s="105"/>
      <c r="H21" s="105"/>
    </row>
    <row r="22" spans="1:8" x14ac:dyDescent="0.25">
      <c r="A22" s="105"/>
      <c r="B22" s="294" t="s">
        <v>242</v>
      </c>
      <c r="C22" s="313">
        <v>20000</v>
      </c>
      <c r="D22" s="129">
        <f t="shared" si="0"/>
        <v>4</v>
      </c>
      <c r="E22" s="351" t="s">
        <v>76</v>
      </c>
      <c r="F22" s="352"/>
      <c r="G22" s="105"/>
      <c r="H22" s="105"/>
    </row>
    <row r="23" spans="1:8" ht="13" x14ac:dyDescent="0.25">
      <c r="A23" s="105"/>
      <c r="B23" s="294" t="s">
        <v>199</v>
      </c>
      <c r="C23" s="140">
        <f>SUM(C17:C22)</f>
        <v>310000</v>
      </c>
      <c r="D23" s="141">
        <f t="shared" si="0"/>
        <v>62</v>
      </c>
      <c r="E23" s="360" t="s">
        <v>176</v>
      </c>
      <c r="F23" s="352"/>
      <c r="G23" s="105"/>
      <c r="H23" s="105"/>
    </row>
    <row r="24" spans="1:8" x14ac:dyDescent="0.25">
      <c r="A24" s="105"/>
      <c r="B24" s="293" t="s">
        <v>214</v>
      </c>
      <c r="C24" s="130"/>
      <c r="D24" s="131"/>
      <c r="E24" s="351" t="s">
        <v>197</v>
      </c>
      <c r="F24" s="376"/>
      <c r="G24" s="105"/>
      <c r="H24" s="105"/>
    </row>
    <row r="25" spans="1:8" x14ac:dyDescent="0.25">
      <c r="A25" s="105"/>
      <c r="B25" s="294" t="s">
        <v>243</v>
      </c>
      <c r="C25" s="313">
        <v>40000</v>
      </c>
      <c r="D25" s="129">
        <f t="shared" ref="D25:D33" si="1">+IF(D$15=B$87,C25/C$13*100,C25/100*C$13)</f>
        <v>8</v>
      </c>
      <c r="E25" s="351" t="s">
        <v>78</v>
      </c>
      <c r="F25" s="352"/>
      <c r="G25" s="105"/>
      <c r="H25" s="105"/>
    </row>
    <row r="26" spans="1:8" x14ac:dyDescent="0.25">
      <c r="A26" s="105"/>
      <c r="B26" s="294" t="s">
        <v>244</v>
      </c>
      <c r="C26" s="313">
        <v>30000</v>
      </c>
      <c r="D26" s="129">
        <f t="shared" si="1"/>
        <v>6</v>
      </c>
      <c r="E26" s="351" t="s">
        <v>79</v>
      </c>
      <c r="F26" s="352"/>
      <c r="G26" s="105"/>
      <c r="H26" s="105"/>
    </row>
    <row r="27" spans="1:8" x14ac:dyDescent="0.25">
      <c r="A27" s="105"/>
      <c r="B27" s="294" t="s">
        <v>57</v>
      </c>
      <c r="C27" s="313">
        <v>50000</v>
      </c>
      <c r="D27" s="129">
        <f t="shared" si="1"/>
        <v>10</v>
      </c>
      <c r="E27" s="351" t="s">
        <v>71</v>
      </c>
      <c r="F27" s="352"/>
      <c r="G27" s="105"/>
      <c r="H27" s="105"/>
    </row>
    <row r="28" spans="1:8" x14ac:dyDescent="0.25">
      <c r="A28" s="105"/>
      <c r="B28" s="294" t="s">
        <v>59</v>
      </c>
      <c r="C28" s="313">
        <v>10000</v>
      </c>
      <c r="D28" s="129">
        <f t="shared" si="1"/>
        <v>2</v>
      </c>
      <c r="E28" s="351" t="s">
        <v>70</v>
      </c>
      <c r="F28" s="352"/>
      <c r="G28" s="105"/>
      <c r="H28" s="105"/>
    </row>
    <row r="29" spans="1:8" x14ac:dyDescent="0.25">
      <c r="A29" s="105"/>
      <c r="B29" s="294" t="s">
        <v>7</v>
      </c>
      <c r="C29" s="313">
        <v>0</v>
      </c>
      <c r="D29" s="129">
        <f t="shared" si="1"/>
        <v>0</v>
      </c>
      <c r="E29" s="351" t="s">
        <v>221</v>
      </c>
      <c r="F29" s="352"/>
      <c r="G29" s="105"/>
      <c r="H29" s="105"/>
    </row>
    <row r="30" spans="1:8" x14ac:dyDescent="0.25">
      <c r="A30" s="105"/>
      <c r="B30" s="294" t="s">
        <v>242</v>
      </c>
      <c r="C30" s="313">
        <v>0</v>
      </c>
      <c r="D30" s="129">
        <f t="shared" si="1"/>
        <v>0</v>
      </c>
      <c r="E30" s="351" t="s">
        <v>80</v>
      </c>
      <c r="F30" s="352"/>
      <c r="G30" s="105"/>
      <c r="H30" s="105"/>
    </row>
    <row r="31" spans="1:8" ht="13" x14ac:dyDescent="0.25">
      <c r="A31" s="105"/>
      <c r="B31" s="294" t="s">
        <v>215</v>
      </c>
      <c r="C31" s="140">
        <f>SUM(C25:C30)</f>
        <v>130000</v>
      </c>
      <c r="D31" s="141">
        <f t="shared" si="1"/>
        <v>26</v>
      </c>
      <c r="E31" s="351" t="s">
        <v>175</v>
      </c>
      <c r="F31" s="352"/>
      <c r="G31" s="105"/>
      <c r="H31" s="105"/>
    </row>
    <row r="32" spans="1:8" ht="13" x14ac:dyDescent="0.25">
      <c r="A32" s="105"/>
      <c r="B32" s="294" t="s">
        <v>51</v>
      </c>
      <c r="C32" s="140">
        <f>+IF(C$15=B$87,100-C23-C31,C13-C23-C31)</f>
        <v>60000</v>
      </c>
      <c r="D32" s="141">
        <f t="shared" si="1"/>
        <v>12</v>
      </c>
      <c r="E32" s="351" t="s">
        <v>83</v>
      </c>
      <c r="F32" s="352"/>
      <c r="G32" s="105"/>
      <c r="H32" s="105"/>
    </row>
    <row r="33" spans="1:8" ht="13" x14ac:dyDescent="0.25">
      <c r="A33" s="105"/>
      <c r="B33" s="295" t="s">
        <v>245</v>
      </c>
      <c r="C33" s="139">
        <f>+C32+C28+C19</f>
        <v>120000</v>
      </c>
      <c r="D33" s="139">
        <f t="shared" si="1"/>
        <v>24</v>
      </c>
      <c r="E33" s="351" t="s">
        <v>52</v>
      </c>
      <c r="F33" s="352"/>
      <c r="G33" s="105"/>
      <c r="H33" s="105"/>
    </row>
    <row r="34" spans="1:8" x14ac:dyDescent="0.25">
      <c r="A34" s="105"/>
      <c r="B34" s="111"/>
      <c r="C34" s="133"/>
      <c r="D34" s="133"/>
      <c r="E34" s="134"/>
      <c r="F34" s="112"/>
      <c r="G34" s="105"/>
      <c r="H34" s="105"/>
    </row>
    <row r="35" spans="1:8" x14ac:dyDescent="0.25">
      <c r="A35" s="105"/>
      <c r="B35" s="113"/>
      <c r="C35" s="125"/>
      <c r="D35" s="125"/>
      <c r="E35" s="132"/>
      <c r="F35" s="110"/>
      <c r="G35" s="105"/>
      <c r="H35" s="105"/>
    </row>
    <row r="36" spans="1:8" ht="13" x14ac:dyDescent="0.25">
      <c r="A36" s="105"/>
      <c r="B36" s="353" t="s">
        <v>188</v>
      </c>
      <c r="C36" s="379"/>
      <c r="D36" s="377" t="s">
        <v>222</v>
      </c>
      <c r="E36" s="380"/>
      <c r="F36" s="352"/>
      <c r="G36" s="105"/>
      <c r="H36" s="105"/>
    </row>
    <row r="37" spans="1:8" ht="13" x14ac:dyDescent="0.25">
      <c r="A37" s="105"/>
      <c r="B37" s="114"/>
      <c r="C37" s="125"/>
      <c r="D37" s="125"/>
      <c r="E37" s="132"/>
      <c r="F37" s="110"/>
      <c r="G37" s="105"/>
      <c r="H37" s="105"/>
    </row>
    <row r="38" spans="1:8" ht="13" x14ac:dyDescent="0.25">
      <c r="A38" s="105"/>
      <c r="B38" s="296" t="s">
        <v>24</v>
      </c>
      <c r="C38" s="135" t="s">
        <v>26</v>
      </c>
      <c r="D38" s="136" t="s">
        <v>27</v>
      </c>
      <c r="E38" s="115" t="s">
        <v>28</v>
      </c>
      <c r="F38" s="110" t="s">
        <v>39</v>
      </c>
      <c r="G38" s="105"/>
      <c r="H38" s="105"/>
    </row>
    <row r="39" spans="1:8" x14ac:dyDescent="0.25">
      <c r="A39" s="105"/>
      <c r="B39" s="295" t="s">
        <v>246</v>
      </c>
      <c r="C39" s="142">
        <v>1.03</v>
      </c>
      <c r="D39" s="142">
        <v>1</v>
      </c>
      <c r="E39" s="143">
        <v>0.97</v>
      </c>
      <c r="F39" s="137" t="s">
        <v>53</v>
      </c>
      <c r="G39" s="105"/>
      <c r="H39" s="105"/>
    </row>
    <row r="40" spans="1:8" x14ac:dyDescent="0.25">
      <c r="A40" s="105"/>
      <c r="B40" s="295" t="s">
        <v>247</v>
      </c>
      <c r="C40" s="144">
        <v>1.05</v>
      </c>
      <c r="D40" s="144">
        <v>1</v>
      </c>
      <c r="E40" s="145">
        <v>1</v>
      </c>
      <c r="F40" s="110" t="s">
        <v>40</v>
      </c>
      <c r="G40" s="105"/>
      <c r="H40" s="105"/>
    </row>
    <row r="41" spans="1:8" x14ac:dyDescent="0.25">
      <c r="A41" s="105"/>
      <c r="B41" s="295" t="s">
        <v>248</v>
      </c>
      <c r="C41" s="144">
        <v>1.05</v>
      </c>
      <c r="D41" s="144">
        <v>1.05</v>
      </c>
      <c r="E41" s="145">
        <v>1</v>
      </c>
      <c r="F41" s="110" t="s">
        <v>41</v>
      </c>
      <c r="G41" s="105"/>
      <c r="H41" s="105"/>
    </row>
    <row r="42" spans="1:8" x14ac:dyDescent="0.25">
      <c r="A42" s="105"/>
      <c r="B42" s="295" t="s">
        <v>60</v>
      </c>
      <c r="C42" s="144">
        <v>1</v>
      </c>
      <c r="D42" s="144">
        <v>1.03</v>
      </c>
      <c r="E42" s="145">
        <v>1.05</v>
      </c>
      <c r="F42" s="110" t="s">
        <v>41</v>
      </c>
      <c r="G42" s="105"/>
      <c r="H42" s="105"/>
    </row>
    <row r="43" spans="1:8" x14ac:dyDescent="0.25">
      <c r="A43" s="105"/>
      <c r="B43" s="295" t="s">
        <v>8</v>
      </c>
      <c r="C43" s="144">
        <v>1</v>
      </c>
      <c r="D43" s="144">
        <v>1.05</v>
      </c>
      <c r="E43" s="145">
        <v>0.95</v>
      </c>
      <c r="F43" s="110" t="s">
        <v>104</v>
      </c>
      <c r="G43" s="105"/>
      <c r="H43" s="105"/>
    </row>
    <row r="44" spans="1:8" x14ac:dyDescent="0.25">
      <c r="A44" s="105"/>
      <c r="B44" s="295" t="s">
        <v>249</v>
      </c>
      <c r="C44" s="144">
        <v>1.1000000000000001</v>
      </c>
      <c r="D44" s="144">
        <v>1.05</v>
      </c>
      <c r="E44" s="145">
        <v>1.03</v>
      </c>
      <c r="F44" s="110" t="s">
        <v>102</v>
      </c>
      <c r="G44" s="105"/>
      <c r="H44" s="105"/>
    </row>
    <row r="45" spans="1:8" x14ac:dyDescent="0.25">
      <c r="A45" s="105"/>
      <c r="B45" s="295" t="s">
        <v>217</v>
      </c>
      <c r="C45" s="144">
        <v>1.03</v>
      </c>
      <c r="D45" s="144">
        <v>1.05</v>
      </c>
      <c r="E45" s="145">
        <v>1</v>
      </c>
      <c r="F45" s="110" t="s">
        <v>220</v>
      </c>
      <c r="G45" s="105"/>
      <c r="H45" s="105"/>
    </row>
    <row r="46" spans="1:8" x14ac:dyDescent="0.25">
      <c r="A46" s="105"/>
      <c r="B46" s="295" t="s">
        <v>218</v>
      </c>
      <c r="C46" s="146">
        <v>1</v>
      </c>
      <c r="D46" s="146">
        <v>1.02</v>
      </c>
      <c r="E46" s="147">
        <v>1.05</v>
      </c>
      <c r="F46" s="110" t="s">
        <v>219</v>
      </c>
      <c r="G46" s="105"/>
      <c r="H46" s="105"/>
    </row>
    <row r="47" spans="1:8" x14ac:dyDescent="0.25">
      <c r="A47" s="105"/>
      <c r="B47" s="116"/>
      <c r="C47" s="125"/>
      <c r="D47" s="125"/>
      <c r="E47" s="125"/>
      <c r="F47" s="110"/>
      <c r="G47" s="105"/>
      <c r="H47" s="105"/>
    </row>
    <row r="48" spans="1:8" x14ac:dyDescent="0.25">
      <c r="A48" s="105"/>
      <c r="B48" s="294" t="s">
        <v>173</v>
      </c>
      <c r="C48" s="226">
        <v>0.25</v>
      </c>
      <c r="D48" s="377" t="s">
        <v>174</v>
      </c>
      <c r="E48" s="380"/>
      <c r="F48" s="352"/>
      <c r="G48" s="105"/>
      <c r="H48" s="105"/>
    </row>
    <row r="49" spans="1:8" x14ac:dyDescent="0.25">
      <c r="A49" s="105"/>
      <c r="B49" s="111"/>
      <c r="C49" s="133"/>
      <c r="D49" s="133"/>
      <c r="E49" s="134"/>
      <c r="F49" s="112"/>
      <c r="G49" s="105"/>
      <c r="H49" s="105"/>
    </row>
    <row r="50" spans="1:8" x14ac:dyDescent="0.25">
      <c r="A50" s="105"/>
      <c r="B50" s="113"/>
      <c r="C50" s="125"/>
      <c r="D50" s="125"/>
      <c r="E50" s="132"/>
      <c r="F50" s="110"/>
      <c r="G50" s="105"/>
      <c r="H50" s="105"/>
    </row>
    <row r="51" spans="1:8" ht="13" x14ac:dyDescent="0.25">
      <c r="A51" s="105"/>
      <c r="B51" s="353" t="s">
        <v>187</v>
      </c>
      <c r="C51" s="379"/>
      <c r="D51" s="381"/>
      <c r="E51" s="358"/>
      <c r="F51" s="359"/>
      <c r="G51" s="105"/>
      <c r="H51" s="105"/>
    </row>
    <row r="52" spans="1:8" x14ac:dyDescent="0.25">
      <c r="A52" s="105"/>
      <c r="B52" s="138"/>
      <c r="C52" s="125"/>
      <c r="D52" s="125"/>
      <c r="E52" s="132"/>
      <c r="F52" s="110"/>
      <c r="G52" s="105"/>
      <c r="H52" s="105"/>
    </row>
    <row r="53" spans="1:8" x14ac:dyDescent="0.25">
      <c r="A53" s="105"/>
      <c r="B53" s="294" t="s">
        <v>30</v>
      </c>
      <c r="C53" s="226">
        <v>1</v>
      </c>
      <c r="D53" s="377" t="s">
        <v>1</v>
      </c>
      <c r="E53" s="378"/>
      <c r="F53" s="376"/>
      <c r="G53" s="105"/>
      <c r="H53" s="105"/>
    </row>
    <row r="54" spans="1:8" x14ac:dyDescent="0.25">
      <c r="A54" s="105"/>
      <c r="B54" s="294" t="s">
        <v>31</v>
      </c>
      <c r="C54" s="227">
        <v>60000</v>
      </c>
      <c r="D54" s="377" t="s">
        <v>2</v>
      </c>
      <c r="E54" s="378"/>
      <c r="F54" s="376"/>
      <c r="G54" s="105"/>
      <c r="H54" s="105"/>
    </row>
    <row r="55" spans="1:8" x14ac:dyDescent="0.25">
      <c r="A55" s="105"/>
      <c r="B55" s="294" t="s">
        <v>250</v>
      </c>
      <c r="C55" s="227">
        <v>100000</v>
      </c>
      <c r="D55" s="377" t="s">
        <v>3</v>
      </c>
      <c r="E55" s="378"/>
      <c r="F55" s="376"/>
      <c r="G55" s="105"/>
      <c r="H55" s="105"/>
    </row>
    <row r="56" spans="1:8" x14ac:dyDescent="0.25">
      <c r="A56" s="105"/>
      <c r="B56" s="294" t="s">
        <v>251</v>
      </c>
      <c r="C56" s="227">
        <v>8</v>
      </c>
      <c r="D56" s="377" t="s">
        <v>4</v>
      </c>
      <c r="E56" s="378"/>
      <c r="F56" s="376"/>
      <c r="G56" s="105"/>
      <c r="H56" s="105"/>
    </row>
    <row r="57" spans="1:8" x14ac:dyDescent="0.25">
      <c r="A57" s="105"/>
      <c r="B57" s="294" t="s">
        <v>0</v>
      </c>
      <c r="C57" s="227">
        <v>0</v>
      </c>
      <c r="D57" s="377" t="s">
        <v>196</v>
      </c>
      <c r="E57" s="378"/>
      <c r="F57" s="376"/>
      <c r="G57" s="105"/>
      <c r="H57" s="105"/>
    </row>
    <row r="58" spans="1:8" x14ac:dyDescent="0.25">
      <c r="A58" s="105"/>
      <c r="B58" s="294" t="s">
        <v>13</v>
      </c>
      <c r="C58" s="228">
        <f ca="1">C59-C55-C57</f>
        <v>148590.78550663125</v>
      </c>
      <c r="D58" s="377" t="s">
        <v>223</v>
      </c>
      <c r="E58" s="378"/>
      <c r="F58" s="376"/>
      <c r="G58" s="105"/>
      <c r="H58" s="105"/>
    </row>
    <row r="59" spans="1:8" ht="13" x14ac:dyDescent="0.25">
      <c r="A59" s="105"/>
      <c r="B59" s="294" t="s">
        <v>32</v>
      </c>
      <c r="C59" s="228">
        <f ca="1">C64</f>
        <v>248590.78550663125</v>
      </c>
      <c r="D59" s="387" t="s">
        <v>200</v>
      </c>
      <c r="E59" s="388"/>
      <c r="F59" s="389"/>
      <c r="G59" s="105"/>
      <c r="H59" s="105"/>
    </row>
    <row r="60" spans="1:8" x14ac:dyDescent="0.25">
      <c r="A60" s="105"/>
      <c r="B60" s="294" t="s">
        <v>54</v>
      </c>
      <c r="C60" s="227">
        <v>0</v>
      </c>
      <c r="D60" s="229" t="str">
        <f>IFERROR(IF(C$15=B$87,D$29/C$60,C$29/C$60),"")</f>
        <v/>
      </c>
      <c r="E60" s="390" t="s">
        <v>186</v>
      </c>
      <c r="F60" s="376"/>
      <c r="G60" s="105"/>
      <c r="H60" s="105"/>
    </row>
    <row r="61" spans="1:8" x14ac:dyDescent="0.25">
      <c r="A61" s="105"/>
      <c r="B61" s="294" t="s">
        <v>55</v>
      </c>
      <c r="C61" s="228">
        <f ca="1">+C59-C60</f>
        <v>248590.78550663125</v>
      </c>
      <c r="D61" s="377" t="s">
        <v>231</v>
      </c>
      <c r="E61" s="378"/>
      <c r="F61" s="376"/>
      <c r="G61" s="105"/>
      <c r="H61" s="105"/>
    </row>
    <row r="62" spans="1:8" x14ac:dyDescent="0.25">
      <c r="A62" s="105"/>
      <c r="B62" s="113"/>
      <c r="C62" s="125"/>
      <c r="D62" s="306"/>
      <c r="E62" s="132"/>
      <c r="F62" s="110"/>
      <c r="G62" s="105"/>
      <c r="H62" s="105"/>
    </row>
    <row r="63" spans="1:8" x14ac:dyDescent="0.25">
      <c r="A63" s="105"/>
      <c r="B63" s="391" t="s">
        <v>94</v>
      </c>
      <c r="C63" s="392"/>
      <c r="D63" s="392"/>
      <c r="E63" s="392"/>
      <c r="F63" s="393"/>
      <c r="G63" s="105"/>
      <c r="H63" s="105"/>
    </row>
    <row r="64" spans="1:8" ht="13" x14ac:dyDescent="0.25">
      <c r="A64" s="105"/>
      <c r="B64" s="309" t="s">
        <v>142</v>
      </c>
      <c r="C64" s="310">
        <f ca="1">'Valuation Analysis'!G31</f>
        <v>248590.78550663125</v>
      </c>
      <c r="D64" s="398" t="s">
        <v>141</v>
      </c>
      <c r="E64" s="398"/>
      <c r="F64" s="399"/>
      <c r="G64" s="105"/>
      <c r="H64" s="105"/>
    </row>
    <row r="65" spans="1:8" ht="40.5" customHeight="1" x14ac:dyDescent="0.25">
      <c r="A65" s="105"/>
      <c r="B65" s="395" t="s">
        <v>45</v>
      </c>
      <c r="C65" s="396"/>
      <c r="D65" s="396"/>
      <c r="E65" s="396"/>
      <c r="F65" s="397"/>
      <c r="G65" s="105"/>
      <c r="H65" s="105"/>
    </row>
    <row r="66" spans="1:8" ht="12.75" customHeight="1" x14ac:dyDescent="0.25">
      <c r="A66" s="105"/>
      <c r="B66" s="117" t="s">
        <v>105</v>
      </c>
      <c r="C66" s="118"/>
      <c r="D66" s="119"/>
      <c r="E66" s="120"/>
      <c r="F66" s="121"/>
      <c r="G66" s="105"/>
      <c r="H66" s="105"/>
    </row>
    <row r="67" spans="1:8" x14ac:dyDescent="0.25">
      <c r="A67" s="105"/>
      <c r="B67" s="245" t="s">
        <v>62</v>
      </c>
      <c r="C67" s="382" t="s">
        <v>201</v>
      </c>
      <c r="D67" s="382"/>
      <c r="E67" s="382"/>
      <c r="F67" s="383"/>
      <c r="G67" s="105"/>
      <c r="H67" s="105"/>
    </row>
    <row r="68" spans="1:8" x14ac:dyDescent="0.25">
      <c r="A68" s="105"/>
      <c r="B68" s="245" t="s">
        <v>93</v>
      </c>
      <c r="C68" s="382" t="s">
        <v>202</v>
      </c>
      <c r="D68" s="382"/>
      <c r="E68" s="382"/>
      <c r="F68" s="383"/>
      <c r="G68" s="105"/>
      <c r="H68" s="105"/>
    </row>
    <row r="69" spans="1:8" x14ac:dyDescent="0.25">
      <c r="A69" s="105"/>
      <c r="B69" s="245" t="s">
        <v>229</v>
      </c>
      <c r="C69" s="382" t="s">
        <v>203</v>
      </c>
      <c r="D69" s="382"/>
      <c r="E69" s="382"/>
      <c r="F69" s="383"/>
      <c r="G69" s="105"/>
      <c r="H69" s="105"/>
    </row>
    <row r="70" spans="1:8" x14ac:dyDescent="0.25">
      <c r="A70" s="105"/>
      <c r="B70" s="245" t="s">
        <v>228</v>
      </c>
      <c r="C70" s="382" t="s">
        <v>204</v>
      </c>
      <c r="D70" s="382"/>
      <c r="E70" s="382"/>
      <c r="F70" s="383"/>
      <c r="G70" s="105"/>
      <c r="H70" s="105"/>
    </row>
    <row r="71" spans="1:8" x14ac:dyDescent="0.25">
      <c r="A71" s="105"/>
      <c r="B71" s="245" t="s">
        <v>230</v>
      </c>
      <c r="C71" s="382" t="s">
        <v>205</v>
      </c>
      <c r="D71" s="382"/>
      <c r="E71" s="382"/>
      <c r="F71" s="383"/>
      <c r="G71" s="105"/>
      <c r="H71" s="105"/>
    </row>
    <row r="72" spans="1:8" x14ac:dyDescent="0.25">
      <c r="A72" s="105"/>
      <c r="B72" s="245" t="s">
        <v>224</v>
      </c>
      <c r="C72" s="382" t="s">
        <v>206</v>
      </c>
      <c r="D72" s="382"/>
      <c r="E72" s="382"/>
      <c r="F72" s="383"/>
      <c r="G72" s="105"/>
      <c r="H72" s="105"/>
    </row>
    <row r="73" spans="1:8" x14ac:dyDescent="0.25">
      <c r="A73" s="105"/>
      <c r="B73" s="245" t="s">
        <v>225</v>
      </c>
      <c r="C73" s="382" t="s">
        <v>207</v>
      </c>
      <c r="D73" s="382"/>
      <c r="E73" s="382"/>
      <c r="F73" s="383"/>
      <c r="G73" s="105"/>
      <c r="H73" s="105"/>
    </row>
    <row r="74" spans="1:8" x14ac:dyDescent="0.25">
      <c r="A74" s="105"/>
      <c r="B74" s="245" t="s">
        <v>226</v>
      </c>
      <c r="C74" s="382" t="s">
        <v>208</v>
      </c>
      <c r="D74" s="382"/>
      <c r="E74" s="382"/>
      <c r="F74" s="383"/>
      <c r="G74" s="105"/>
      <c r="H74" s="105"/>
    </row>
    <row r="75" spans="1:8" x14ac:dyDescent="0.25">
      <c r="A75" s="105"/>
      <c r="B75" s="245" t="s">
        <v>227</v>
      </c>
      <c r="C75" s="385" t="s">
        <v>209</v>
      </c>
      <c r="D75" s="385"/>
      <c r="E75" s="385"/>
      <c r="F75" s="386"/>
      <c r="G75" s="105"/>
      <c r="H75" s="105"/>
    </row>
    <row r="76" spans="1:8" ht="13" x14ac:dyDescent="0.25">
      <c r="A76" s="105"/>
      <c r="B76" s="366" t="str">
        <f>copy</f>
        <v>© bizpep.com</v>
      </c>
      <c r="C76" s="394"/>
      <c r="D76" s="394"/>
      <c r="E76" s="394"/>
      <c r="F76" s="369"/>
      <c r="G76" s="105"/>
      <c r="H76" s="105"/>
    </row>
    <row r="77" spans="1:8" ht="18" x14ac:dyDescent="0.25">
      <c r="A77" s="105"/>
      <c r="B77" s="401"/>
      <c r="C77" s="401"/>
      <c r="D77" s="401"/>
      <c r="E77" s="401"/>
      <c r="F77" s="401"/>
      <c r="G77" s="105"/>
      <c r="H77" s="105"/>
    </row>
    <row r="78" spans="1:8" ht="18" x14ac:dyDescent="0.25">
      <c r="A78" s="105"/>
      <c r="B78" s="402"/>
      <c r="C78" s="402"/>
      <c r="D78" s="402"/>
      <c r="E78" s="402"/>
      <c r="F78" s="402"/>
      <c r="G78" s="105"/>
      <c r="H78" s="105"/>
    </row>
    <row r="79" spans="1:8" ht="18" x14ac:dyDescent="0.25">
      <c r="A79" s="105"/>
      <c r="B79" s="403"/>
      <c r="C79" s="403"/>
      <c r="D79" s="403"/>
      <c r="E79" s="403"/>
      <c r="F79" s="403"/>
      <c r="G79" s="105"/>
      <c r="H79" s="105"/>
    </row>
    <row r="80" spans="1:8" ht="18" x14ac:dyDescent="0.25">
      <c r="A80" s="105"/>
      <c r="B80" s="402"/>
      <c r="C80" s="402"/>
      <c r="D80" s="402"/>
      <c r="E80" s="402"/>
      <c r="F80" s="402"/>
      <c r="G80" s="105"/>
      <c r="H80" s="105"/>
    </row>
    <row r="81" spans="1:8" ht="18" x14ac:dyDescent="0.25">
      <c r="A81" s="105"/>
      <c r="B81" s="384"/>
      <c r="C81" s="384"/>
      <c r="D81" s="384"/>
      <c r="E81" s="384"/>
      <c r="F81" s="384"/>
      <c r="G81" s="105"/>
      <c r="H81" s="105"/>
    </row>
    <row r="82" spans="1:8" ht="18" x14ac:dyDescent="0.25">
      <c r="A82" s="105"/>
      <c r="B82" s="404"/>
      <c r="C82" s="404"/>
      <c r="D82" s="404"/>
      <c r="E82" s="404"/>
      <c r="F82" s="404"/>
      <c r="G82" s="105"/>
      <c r="H82" s="105"/>
    </row>
    <row r="83" spans="1:8" ht="18" x14ac:dyDescent="0.25">
      <c r="A83" s="105"/>
      <c r="B83" s="384"/>
      <c r="C83" s="384"/>
      <c r="D83" s="384"/>
      <c r="E83" s="384"/>
      <c r="F83" s="384"/>
      <c r="G83" s="105"/>
      <c r="H83" s="105"/>
    </row>
    <row r="84" spans="1:8" x14ac:dyDescent="0.25">
      <c r="A84" s="105"/>
      <c r="B84" s="400"/>
      <c r="C84" s="400"/>
      <c r="D84" s="400"/>
      <c r="E84" s="400"/>
      <c r="F84" s="400"/>
      <c r="G84" s="105"/>
      <c r="H84" s="105"/>
    </row>
    <row r="85" spans="1:8" x14ac:dyDescent="0.25">
      <c r="A85" s="105"/>
      <c r="B85" s="122"/>
      <c r="C85" s="105"/>
      <c r="D85" s="123"/>
      <c r="E85" s="105"/>
      <c r="F85" s="105"/>
      <c r="G85" s="105"/>
      <c r="H85" s="105"/>
    </row>
    <row r="86" spans="1:8" x14ac:dyDescent="0.25">
      <c r="A86" s="105"/>
      <c r="B86" s="276" t="s">
        <v>68</v>
      </c>
      <c r="C86" s="105"/>
      <c r="D86" s="123"/>
      <c r="E86" s="105"/>
      <c r="F86" s="105"/>
      <c r="G86" s="105"/>
      <c r="H86" s="105"/>
    </row>
    <row r="87" spans="1:8" x14ac:dyDescent="0.25">
      <c r="A87" s="105"/>
      <c r="B87" s="277" t="s">
        <v>56</v>
      </c>
      <c r="C87" s="105"/>
      <c r="D87" s="105"/>
      <c r="E87" s="105"/>
      <c r="F87" s="105"/>
      <c r="G87" s="105"/>
      <c r="H87" s="105"/>
    </row>
  </sheetData>
  <sheetProtection algorithmName="SHA-512" hashValue="QBkvw0vngu6/tKp7yg+tW4EihBzyIMs0VNK2dc1JSoW0Gh+90FAjpXGhm4w6h+soPSwoixWYeY7Uf3AUuPf8qw==" saltValue="HgBayvfGqMtuJzWhzRMgUw==" spinCount="100000" sheet="1" formatColumns="0" formatRows="0"/>
  <mergeCells count="66">
    <mergeCell ref="C71:F71"/>
    <mergeCell ref="C73:F73"/>
    <mergeCell ref="C74:F74"/>
    <mergeCell ref="C72:F72"/>
    <mergeCell ref="B84:F84"/>
    <mergeCell ref="B77:F77"/>
    <mergeCell ref="B78:F78"/>
    <mergeCell ref="B79:F79"/>
    <mergeCell ref="B80:F80"/>
    <mergeCell ref="B82:F82"/>
    <mergeCell ref="B83:F83"/>
    <mergeCell ref="D48:F48"/>
    <mergeCell ref="D57:F57"/>
    <mergeCell ref="C69:F69"/>
    <mergeCell ref="C70:F70"/>
    <mergeCell ref="B81:F81"/>
    <mergeCell ref="C75:F75"/>
    <mergeCell ref="D59:F59"/>
    <mergeCell ref="D61:F61"/>
    <mergeCell ref="E60:F60"/>
    <mergeCell ref="D58:F58"/>
    <mergeCell ref="B63:F63"/>
    <mergeCell ref="B76:F76"/>
    <mergeCell ref="B65:F65"/>
    <mergeCell ref="D64:F64"/>
    <mergeCell ref="C67:F67"/>
    <mergeCell ref="C68:F68"/>
    <mergeCell ref="D56:F56"/>
    <mergeCell ref="B36:C36"/>
    <mergeCell ref="D53:F53"/>
    <mergeCell ref="D54:F54"/>
    <mergeCell ref="E22:F22"/>
    <mergeCell ref="D36:F36"/>
    <mergeCell ref="E32:F32"/>
    <mergeCell ref="E33:F33"/>
    <mergeCell ref="B51:C51"/>
    <mergeCell ref="D51:F51"/>
    <mergeCell ref="D55:F55"/>
    <mergeCell ref="E31:F31"/>
    <mergeCell ref="E23:F23"/>
    <mergeCell ref="E25:F25"/>
    <mergeCell ref="E26:F26"/>
    <mergeCell ref="E27:F27"/>
    <mergeCell ref="E30:F30"/>
    <mergeCell ref="E21:F21"/>
    <mergeCell ref="E29:F29"/>
    <mergeCell ref="E28:F28"/>
    <mergeCell ref="D2:F2"/>
    <mergeCell ref="D3:F3"/>
    <mergeCell ref="B5:F5"/>
    <mergeCell ref="B6:F6"/>
    <mergeCell ref="B4:F4"/>
    <mergeCell ref="B7:F7"/>
    <mergeCell ref="C11:E11"/>
    <mergeCell ref="E18:F18"/>
    <mergeCell ref="E16:F16"/>
    <mergeCell ref="E15:F15"/>
    <mergeCell ref="E17:F17"/>
    <mergeCell ref="E24:F24"/>
    <mergeCell ref="E19:F19"/>
    <mergeCell ref="E20:F20"/>
    <mergeCell ref="B9:C9"/>
    <mergeCell ref="B14:F14"/>
    <mergeCell ref="B12:F12"/>
    <mergeCell ref="D13:F13"/>
    <mergeCell ref="D9:F9"/>
  </mergeCells>
  <phoneticPr fontId="0" type="noConversion"/>
  <dataValidations count="2">
    <dataValidation type="decimal" operator="greaterThanOrEqual" allowBlank="1" showInputMessage="1" showErrorMessage="1" error="You have input an Interest Cost, there must be a Finanaced Amount." sqref="C60" xr:uid="{00000000-0002-0000-0100-000000000000}">
      <formula1>C29</formula1>
    </dataValidation>
    <dataValidation type="list" allowBlank="1" showInputMessage="1" showErrorMessage="1" error="Input must be &quot;Monetary&quot; or &quot;Percent&quot;." sqref="C15" xr:uid="{00000000-0002-0000-0100-000001000000}">
      <formula1>$B$86:$B$87</formula1>
    </dataValidation>
  </dataValidations>
  <hyperlinks>
    <hyperlink ref="B7:E7" location="Instructions!A1" tooltip="Go to Instruction Sheet" display="Instruction Sheet" xr:uid="{00000000-0004-0000-0100-000000000000}"/>
    <hyperlink ref="B9" location="Instructions!B10" tooltip="Go to Instruction Sheet" display="Current Performance" xr:uid="{00000000-0004-0000-0100-000001000000}"/>
    <hyperlink ref="B13" location="Instructions!B12" tooltip="Go to Instruction Sheet" display="Business Revenue" xr:uid="{00000000-0004-0000-0100-000002000000}"/>
    <hyperlink ref="B16" location="Instructions!B14" tooltip="Go to Instruction Sheet" display="Cost of Sales (COS)" xr:uid="{00000000-0004-0000-0100-000003000000}"/>
    <hyperlink ref="B17" location="Instructions!B15" tooltip="Go to Instruction Sheet" display="Materials &amp; Supplies" xr:uid="{00000000-0004-0000-0100-000004000000}"/>
    <hyperlink ref="B18" location="Instructions!B16" tooltip="Go to Instruction Sheet" display="Labor excluding Owner" xr:uid="{00000000-0004-0000-0100-000005000000}"/>
    <hyperlink ref="B19" location="Instructions!B17" tooltip="Go to Instruction Sheet" display="Labor Owner" xr:uid="{00000000-0004-0000-0100-000006000000}"/>
    <hyperlink ref="B20" location="Instructions!B18" tooltip="Go to Instruction Sheet" display="Distribution" xr:uid="{00000000-0004-0000-0100-000007000000}"/>
    <hyperlink ref="B21" location="Instructions!B19" tooltip="Go to Instruction Sheet" display="Marketing" xr:uid="{00000000-0004-0000-0100-000008000000}"/>
    <hyperlink ref="B22" location="Instructions!B20" tooltip="Go to Instruction Sheet" display="Other" xr:uid="{00000000-0004-0000-0100-000009000000}"/>
    <hyperlink ref="B24" location="Instructions!B22" tooltip="Go to Instruction Sheet" display="Overheads (O/H)" xr:uid="{00000000-0004-0000-0100-00000A000000}"/>
    <hyperlink ref="B25" location="Instructions!B23" tooltip="Go to Instruction Sheet" display="Location" xr:uid="{00000000-0004-0000-0100-00000B000000}"/>
    <hyperlink ref="B26" location="Instructions!B24" tooltip="Go to Instruction Sheet" display="Administration" xr:uid="{00000000-0004-0000-0100-00000C000000}"/>
    <hyperlink ref="B27" location="Instructions!B25" tooltip="Go to Instruction Sheet" display="Labor excluding Owner" xr:uid="{00000000-0004-0000-0100-00000D000000}"/>
    <hyperlink ref="B28" location="Instructions!B26" tooltip="Go to Instruction Sheet" display="Labor Owner" xr:uid="{00000000-0004-0000-0100-00000E000000}"/>
    <hyperlink ref="B30" location="Instructions!B28" tooltip="Go to Instruction Sheet" display="Other" xr:uid="{00000000-0004-0000-0100-00000F000000}"/>
    <hyperlink ref="B15" location="Instructions!B13" tooltip="Go to Instructions" display="Expenses" xr:uid="{00000000-0004-0000-0100-000010000000}"/>
    <hyperlink ref="B7:F7" location="Instructions!A1" tooltip="Go to Instruction Sheet" display="Instruction Sheet" xr:uid="{00000000-0004-0000-0100-000011000000}"/>
    <hyperlink ref="B9:C9" location="Instructions!B10" tooltip="Go to Instruction Sheet" display="Current Operating Performance Data" xr:uid="{00000000-0004-0000-0100-000012000000}"/>
    <hyperlink ref="B11" location="Instructions!B11" tooltip="Go to Instruction Sheet" display="Business Name or Identifier" xr:uid="{00000000-0004-0000-0100-000013000000}"/>
    <hyperlink ref="B23" location="Instructions!B21" tooltip="Go to Instruction Sheet" display="Total Cost of Sales" xr:uid="{00000000-0004-0000-0100-000014000000}"/>
    <hyperlink ref="B29" location="Instructions!B27" tooltip="Go to Instruction Sheet" display="Interest Costs" xr:uid="{00000000-0004-0000-0100-000015000000}"/>
    <hyperlink ref="B31" location="Instructions!B29" tooltip="Go to Instruction Sheet" display="Total Overheads" xr:uid="{00000000-0004-0000-0100-000016000000}"/>
    <hyperlink ref="B32" location="Instructions!B30" tooltip="Go to Instruction Sheet" display="Operating Surplus" xr:uid="{00000000-0004-0000-0100-000017000000}"/>
    <hyperlink ref="B33" location="Instructions!B31" tooltip="Go to Instruction Sheet" display="Owner Cash Flow" xr:uid="{00000000-0004-0000-0100-000018000000}"/>
    <hyperlink ref="B36:C36" location="Instructions!B32" tooltip="Go to Instruction Sheet" display="Forecast Data" xr:uid="{00000000-0004-0000-0100-000019000000}"/>
    <hyperlink ref="B38" location="Instructions!C33" tooltip="Go to Instruction Sheet" display="Relative Indicator" xr:uid="{00000000-0004-0000-0100-00001A000000}"/>
    <hyperlink ref="B39" location="Instructions!B34" tooltip="Go to Instruction Sheet" display="Level of Competition" xr:uid="{00000000-0004-0000-0100-00001B000000}"/>
    <hyperlink ref="B40" location="Instructions!B35" tooltip="Go to Instruction Sheet" display="Market Strength" xr:uid="{00000000-0004-0000-0100-00001C000000}"/>
    <hyperlink ref="B41" location="Instructions!B36" tooltip="Go to Instruction Sheet" display="Materials &amp; Supplies Costs" xr:uid="{00000000-0004-0000-0100-00001D000000}"/>
    <hyperlink ref="B42" location="Instructions!B37" tooltip="Go to Instruction Sheet" display="Labor Costs" xr:uid="{00000000-0004-0000-0100-00001E000000}"/>
    <hyperlink ref="B43" location="Instructions!B38" tooltip="Go to Instruction Sheet" display="Interest Rates" xr:uid="{00000000-0004-0000-0100-00001F000000}"/>
    <hyperlink ref="B44" location="Instructions!B39" tooltip="Go to Instruction Sheet" display="Business Market Position" xr:uid="{00000000-0004-0000-0100-000020000000}"/>
    <hyperlink ref="B45" location="Instructions!B40" tooltip="Go to Instruction Sheet" display="Cost of Sales Efficiency" xr:uid="{00000000-0004-0000-0100-000021000000}"/>
    <hyperlink ref="B46" location="Instructions!B41" tooltip="Go to Instruction Sheet" display="Overheads Efficiency" xr:uid="{00000000-0004-0000-0100-000022000000}"/>
    <hyperlink ref="B48" location="Instructions!B42" tooltip="Go to Instruction Sheet" display="Overhead Flow-on" xr:uid="{00000000-0004-0000-0100-000023000000}"/>
    <hyperlink ref="B51:C51" location="Instructions!B43" tooltip="Go to Instruction Sheet" display="Valuation Data" xr:uid="{00000000-0004-0000-0100-000024000000}"/>
    <hyperlink ref="B53" location="Instructions!B44" tooltip="Go to Instruction Sheet" display="Owners Time Commitment to Business" xr:uid="{00000000-0004-0000-0100-000025000000}"/>
    <hyperlink ref="B54" location="Instructions!B45" tooltip="Go to Instruction Sheet" display="Owners External Earning Power" xr:uid="{00000000-0004-0000-0100-000026000000}"/>
    <hyperlink ref="B55" location="Instructions!B46" tooltip="Go to Instruction Sheet" display="Replacement Value of Business Assets" xr:uid="{00000000-0004-0000-0100-000027000000}"/>
    <hyperlink ref="B56" location="Instructions!B47" tooltip="Go to Instruction Sheet" display="Life of Assets (years)" xr:uid="{00000000-0004-0000-0100-000028000000}"/>
    <hyperlink ref="B57" location="Instructions!B48" tooltip="Go to Instruction Sheet" display="Market Value of Property" xr:uid="{00000000-0004-0000-0100-000029000000}"/>
    <hyperlink ref="B58" location="Instructions!B49" tooltip="Go to Instruction Sheet" display="Other Investment in Business" xr:uid="{00000000-0004-0000-0100-00002A000000}"/>
    <hyperlink ref="B59" location="Instructions!B50" tooltip="Go to Instruction Sheet" display="Total Investment" xr:uid="{00000000-0004-0000-0100-00002B000000}"/>
    <hyperlink ref="B60" location="Instructions!B51" tooltip="Go to Instruction Sheet" display="Financed Amount" xr:uid="{00000000-0004-0000-0100-00002C000000}"/>
    <hyperlink ref="B61" location="Instructions!B52" tooltip="Go to Instruction Sheet" display="Equity Investment" xr:uid="{00000000-0004-0000-0100-00002D000000}"/>
    <hyperlink ref="B67" location="Instructions!B72" tooltip="Go to Instruction Sheet" display="Sensitivity Analysis" xr:uid="{00000000-0004-0000-0100-00002E000000}"/>
    <hyperlink ref="B68" location="Instructions!B73" tooltip="Go to Instruction Sheet" display="Valuation Analysis" xr:uid="{00000000-0004-0000-0100-00002F000000}"/>
    <hyperlink ref="B69" location="Instructions!B74" tooltip="Go to Instruction Sheet" display="Expected Results" xr:uid="{00000000-0004-0000-0100-000030000000}"/>
    <hyperlink ref="B70" location="Instructions!B75" tooltip="Go to Instruction Sheet" display="Optimistic Results" xr:uid="{00000000-0004-0000-0100-000031000000}"/>
    <hyperlink ref="B71" location="Instructions!B76" tooltip="Go to Instruction Sheet" display="Pessimistic Results" xr:uid="{00000000-0004-0000-0100-000032000000}"/>
    <hyperlink ref="B72" location="Instructions!B77" tooltip="Go to Instruction Sheet" display="Forecast Revenue Chart" xr:uid="{00000000-0004-0000-0100-000033000000}"/>
    <hyperlink ref="B73" location="Instructions!B78" tooltip="Go to Instruction Sheet" display="Forecast Return Chart" xr:uid="{00000000-0004-0000-0100-000034000000}"/>
    <hyperlink ref="B74" location="Instructions!B79" tooltip="Go to Instruction Sheet" display="Operating Surplus Chart" xr:uid="{00000000-0004-0000-0100-000035000000}"/>
    <hyperlink ref="B75" location="Instructions!B80" tooltip="Go to Instruction Sheet" display="Surplus &amp; Return Chart" xr:uid="{00000000-0004-0000-0100-000036000000}"/>
    <hyperlink ref="D64" location="'Valuation Analysis'!A1" display="refer to Valuation Analysis for details." xr:uid="{00000000-0004-0000-0100-000037000000}"/>
    <hyperlink ref="D59:F59" location="'Valuation Analysis'!A1" display="Current Expected Valuation" xr:uid="{00000000-0004-0000-0100-000038000000}"/>
  </hyperlinks>
  <pageMargins left="0.75" right="0.75" top="1" bottom="1" header="0.5" footer="0.5"/>
  <pageSetup scale="61" orientation="portrait" horizontalDpi="360" verticalDpi="4294967293" r:id="rId1"/>
  <headerFooter alignWithMargins="0"/>
  <rowBreaks count="1" manualBreakCount="1">
    <brk id="62"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pageSetUpPr autoPageBreaks="0" fitToPage="1"/>
  </sheetPr>
  <dimension ref="A1:H38"/>
  <sheetViews>
    <sheetView showGridLines="0" topLeftCell="A4" zoomScaleNormal="100" workbookViewId="0">
      <selection activeCell="A4" sqref="A4"/>
    </sheetView>
  </sheetViews>
  <sheetFormatPr defaultColWidth="9.1796875" defaultRowHeight="12.5" x14ac:dyDescent="0.25"/>
  <cols>
    <col min="1" max="1" width="2.1796875" style="4" customWidth="1"/>
    <col min="2" max="2" width="44.54296875" style="4" customWidth="1"/>
    <col min="3" max="7" width="11.7265625" style="4" customWidth="1"/>
    <col min="8" max="8" width="2.1796875" style="4" customWidth="1"/>
    <col min="9" max="9" width="10.7265625" style="4" customWidth="1"/>
    <col min="10" max="16384" width="9.1796875" style="4"/>
  </cols>
  <sheetData>
    <row r="1" spans="1:8" ht="3.75" hidden="1" customHeight="1" x14ac:dyDescent="0.25">
      <c r="A1" s="64"/>
      <c r="B1" s="64"/>
      <c r="C1" s="64"/>
      <c r="D1" s="64"/>
      <c r="E1" s="64"/>
      <c r="F1" s="64"/>
      <c r="G1" s="3"/>
      <c r="H1" s="3"/>
    </row>
    <row r="2" spans="1:8" ht="0.75" hidden="1" customHeight="1" x14ac:dyDescent="0.25">
      <c r="A2" s="64"/>
      <c r="B2" s="64"/>
      <c r="C2" s="410"/>
      <c r="D2" s="411"/>
      <c r="E2" s="411"/>
      <c r="F2" s="411"/>
      <c r="G2" s="411"/>
      <c r="H2" s="3"/>
    </row>
    <row r="3" spans="1:8" s="71" customFormat="1" ht="25.5" hidden="1" customHeight="1" x14ac:dyDescent="0.25">
      <c r="A3" s="69"/>
      <c r="B3" s="69"/>
      <c r="C3" s="412"/>
      <c r="D3" s="413"/>
      <c r="E3" s="413"/>
      <c r="F3" s="413"/>
      <c r="G3" s="413"/>
      <c r="H3" s="70"/>
    </row>
    <row r="4" spans="1:8" ht="3.75" customHeight="1" x14ac:dyDescent="0.25">
      <c r="A4" s="64"/>
      <c r="B4" s="64"/>
      <c r="C4" s="64"/>
      <c r="D4" s="65"/>
      <c r="E4" s="65"/>
      <c r="F4" s="64"/>
      <c r="G4" s="3"/>
      <c r="H4" s="3"/>
    </row>
    <row r="5" spans="1:8" ht="13" x14ac:dyDescent="0.25">
      <c r="A5" s="64"/>
      <c r="B5" s="414" t="str">
        <f xml:space="preserve"> "Sensitivity Analysis - " &amp; title</f>
        <v>Sensitivity Analysis - Business Valuation</v>
      </c>
      <c r="C5" s="415"/>
      <c r="D5" s="415"/>
      <c r="E5" s="415"/>
      <c r="F5" s="415"/>
      <c r="G5" s="416"/>
      <c r="H5" s="3"/>
    </row>
    <row r="6" spans="1:8" s="68" customFormat="1" ht="25.5" customHeight="1" x14ac:dyDescent="0.25">
      <c r="A6" s="66"/>
      <c r="B6" s="417" t="s">
        <v>233</v>
      </c>
      <c r="C6" s="418"/>
      <c r="D6" s="418"/>
      <c r="E6" s="418"/>
      <c r="F6" s="418"/>
      <c r="G6" s="419"/>
      <c r="H6" s="67"/>
    </row>
    <row r="7" spans="1:8" x14ac:dyDescent="0.25">
      <c r="A7" s="64"/>
      <c r="B7" s="430" t="s">
        <v>64</v>
      </c>
      <c r="C7" s="431"/>
      <c r="D7" s="431"/>
      <c r="E7" s="279">
        <v>0.2</v>
      </c>
      <c r="F7" s="426" t="s">
        <v>232</v>
      </c>
      <c r="G7" s="427"/>
      <c r="H7" s="3"/>
    </row>
    <row r="8" spans="1:8" x14ac:dyDescent="0.25">
      <c r="A8" s="64"/>
      <c r="B8" s="430" t="s">
        <v>44</v>
      </c>
      <c r="C8" s="431"/>
      <c r="D8" s="431"/>
      <c r="E8" s="279">
        <v>0.2</v>
      </c>
      <c r="F8" s="428"/>
      <c r="G8" s="429"/>
      <c r="H8" s="3"/>
    </row>
    <row r="9" spans="1:8" ht="26" x14ac:dyDescent="0.25">
      <c r="A9" s="64"/>
      <c r="B9" s="74"/>
      <c r="C9" s="44" t="s">
        <v>25</v>
      </c>
      <c r="D9" s="91" t="s">
        <v>26</v>
      </c>
      <c r="E9" s="91" t="s">
        <v>27</v>
      </c>
      <c r="F9" s="91" t="s">
        <v>28</v>
      </c>
      <c r="G9" s="92" t="s">
        <v>34</v>
      </c>
      <c r="H9" s="3"/>
    </row>
    <row r="10" spans="1:8" ht="13" x14ac:dyDescent="0.25">
      <c r="A10" s="64"/>
      <c r="B10" s="109" t="str">
        <f>+Worksheet!B5</f>
        <v>Business Revenue</v>
      </c>
      <c r="C10" s="81"/>
      <c r="D10" s="77"/>
      <c r="E10" s="77"/>
      <c r="F10" s="77"/>
      <c r="G10" s="72"/>
      <c r="H10" s="3"/>
    </row>
    <row r="11" spans="1:8" x14ac:dyDescent="0.25">
      <c r="A11" s="64"/>
      <c r="B11" s="246" t="s">
        <v>90</v>
      </c>
      <c r="C11" s="82">
        <f ca="1">+Worksheet!K5</f>
        <v>500000</v>
      </c>
      <c r="D11" s="82">
        <f ca="1">+Worksheet!L5</f>
        <v>579687.5</v>
      </c>
      <c r="E11" s="82">
        <f ca="1">+Worksheet!M5</f>
        <v>614468.75</v>
      </c>
      <c r="F11" s="82">
        <f ca="1">+Worksheet!N5</f>
        <v>660362.68153526972</v>
      </c>
      <c r="G11" s="82">
        <f ca="1">+Worksheet!O5</f>
        <v>618172.9771784232</v>
      </c>
      <c r="H11" s="3"/>
    </row>
    <row r="12" spans="1:8" x14ac:dyDescent="0.25">
      <c r="A12" s="64"/>
      <c r="B12" s="247" t="s">
        <v>65</v>
      </c>
      <c r="C12" s="83">
        <f ca="1">+Worksheet!C5</f>
        <v>500000</v>
      </c>
      <c r="D12" s="83">
        <f ca="1">+Worksheet!D5</f>
        <v>560679.61165048543</v>
      </c>
      <c r="E12" s="83">
        <f ca="1">+Worksheet!E5</f>
        <v>588713.59223300975</v>
      </c>
      <c r="F12" s="83">
        <f ca="1">+Worksheet!F5</f>
        <v>625128.8659793816</v>
      </c>
      <c r="G12" s="83">
        <f ca="1">+Worksheet!G5</f>
        <v>591507.35662095889</v>
      </c>
      <c r="H12" s="3"/>
    </row>
    <row r="13" spans="1:8" x14ac:dyDescent="0.25">
      <c r="A13" s="64"/>
      <c r="B13" s="247" t="s">
        <v>42</v>
      </c>
      <c r="C13" s="84">
        <f ca="1">+Worksheet!R5</f>
        <v>500000</v>
      </c>
      <c r="D13" s="84">
        <f ca="1">+Worksheet!S5</f>
        <v>542084.94208494201</v>
      </c>
      <c r="E13" s="84">
        <f ca="1">+Worksheet!T5</f>
        <v>563768.33976833976</v>
      </c>
      <c r="F13" s="84">
        <f ca="1">+Worksheet!U5</f>
        <v>591494.65156022529</v>
      </c>
      <c r="G13" s="84">
        <f ca="1">+Worksheet!V5</f>
        <v>565782.6444711691</v>
      </c>
      <c r="H13" s="3"/>
    </row>
    <row r="14" spans="1:8" x14ac:dyDescent="0.25">
      <c r="A14" s="64"/>
      <c r="B14" s="109" t="str">
        <f>+Worksheet!B43</f>
        <v>Operating Surplus</v>
      </c>
      <c r="C14" s="85"/>
      <c r="D14" s="78"/>
      <c r="E14" s="78"/>
      <c r="F14" s="78"/>
      <c r="G14" s="72"/>
      <c r="H14" s="3"/>
    </row>
    <row r="15" spans="1:8" x14ac:dyDescent="0.25">
      <c r="A15" s="64"/>
      <c r="B15" s="34" t="s">
        <v>90</v>
      </c>
      <c r="C15" s="86">
        <f ca="1">+Worksheet!K43</f>
        <v>60000</v>
      </c>
      <c r="D15" s="86">
        <f ca="1">+Worksheet!L43</f>
        <v>97031.038851351303</v>
      </c>
      <c r="E15" s="86">
        <f ca="1">+Worksheet!M43</f>
        <v>122621.1434194204</v>
      </c>
      <c r="F15" s="86">
        <f ca="1">+Worksheet!N43</f>
        <v>129747.972125498</v>
      </c>
      <c r="G15" s="86">
        <f ca="1">+Worksheet!O43</f>
        <v>116466.7181320899</v>
      </c>
      <c r="H15" s="3"/>
    </row>
    <row r="16" spans="1:8" x14ac:dyDescent="0.25">
      <c r="A16" s="64"/>
      <c r="B16" s="76" t="s">
        <v>65</v>
      </c>
      <c r="C16" s="87">
        <f ca="1">+Worksheet!C43</f>
        <v>60000</v>
      </c>
      <c r="D16" s="87">
        <f ca="1">+Worksheet!D43</f>
        <v>88694.622490338515</v>
      </c>
      <c r="E16" s="87">
        <f ca="1">+Worksheet!E43</f>
        <v>106169.59067772643</v>
      </c>
      <c r="F16" s="87">
        <f ca="1">+Worksheet!F43</f>
        <v>105371.87455054082</v>
      </c>
      <c r="G16" s="87">
        <f ca="1">+Worksheet!G43</f>
        <v>100078.69590620192</v>
      </c>
      <c r="H16" s="3"/>
    </row>
    <row r="17" spans="1:8" x14ac:dyDescent="0.25">
      <c r="A17" s="64"/>
      <c r="B17" s="76" t="s">
        <v>42</v>
      </c>
      <c r="C17" s="88">
        <f ca="1">+Worksheet!R43</f>
        <v>60000</v>
      </c>
      <c r="D17" s="88">
        <f ca="1">+Worksheet!S43</f>
        <v>80604.54874517367</v>
      </c>
      <c r="E17" s="88">
        <f ca="1">+Worksheet!T43</f>
        <v>90428.211639824556</v>
      </c>
      <c r="F17" s="88">
        <f ca="1">+Worksheet!U43</f>
        <v>82385.728313678061</v>
      </c>
      <c r="G17" s="88">
        <f ca="1">+Worksheet!V43</f>
        <v>84472.829566225424</v>
      </c>
      <c r="H17" s="3"/>
    </row>
    <row r="18" spans="1:8" x14ac:dyDescent="0.25">
      <c r="A18" s="64"/>
      <c r="B18" s="109" t="str">
        <f>+Worksheet!B46</f>
        <v>Owner Cash Flow</v>
      </c>
      <c r="C18" s="89"/>
      <c r="D18" s="79"/>
      <c r="E18" s="79"/>
      <c r="F18" s="79"/>
      <c r="G18" s="72"/>
      <c r="H18" s="3"/>
    </row>
    <row r="19" spans="1:8" x14ac:dyDescent="0.25">
      <c r="A19" s="64"/>
      <c r="B19" s="34" t="s">
        <v>90</v>
      </c>
      <c r="C19" s="86">
        <f ca="1">+Worksheet!K46</f>
        <v>120000</v>
      </c>
      <c r="D19" s="86">
        <f ca="1">+Worksheet!L46</f>
        <v>157031.0388513513</v>
      </c>
      <c r="E19" s="86">
        <f ca="1">+Worksheet!M46</f>
        <v>184421.1434194204</v>
      </c>
      <c r="F19" s="86">
        <f ca="1">+Worksheet!N46</f>
        <v>194637.972125498</v>
      </c>
      <c r="G19" s="86">
        <f ca="1">+Worksheet!O46</f>
        <v>178696.71813208991</v>
      </c>
      <c r="H19" s="3"/>
    </row>
    <row r="20" spans="1:8" x14ac:dyDescent="0.25">
      <c r="A20" s="64"/>
      <c r="B20" s="76" t="s">
        <v>65</v>
      </c>
      <c r="C20" s="87">
        <f ca="1">+Worksheet!C46</f>
        <v>120000</v>
      </c>
      <c r="D20" s="87">
        <f ca="1">+Worksheet!D46</f>
        <v>148694.62249033854</v>
      </c>
      <c r="E20" s="87">
        <f ca="1">+Worksheet!E46</f>
        <v>167969.59067772643</v>
      </c>
      <c r="F20" s="87">
        <f ca="1">+Worksheet!F46</f>
        <v>170261.87455054082</v>
      </c>
      <c r="G20" s="87">
        <f ca="1">+Worksheet!G46</f>
        <v>162308.69590620193</v>
      </c>
      <c r="H20" s="3"/>
    </row>
    <row r="21" spans="1:8" x14ac:dyDescent="0.25">
      <c r="A21" s="64"/>
      <c r="B21" s="76" t="s">
        <v>42</v>
      </c>
      <c r="C21" s="88">
        <f ca="1">+Worksheet!R46</f>
        <v>120000</v>
      </c>
      <c r="D21" s="88">
        <f ca="1">+Worksheet!S46</f>
        <v>140604.54874517367</v>
      </c>
      <c r="E21" s="88">
        <f ca="1">+Worksheet!T46</f>
        <v>152228.21163982456</v>
      </c>
      <c r="F21" s="88">
        <f ca="1">+Worksheet!U46</f>
        <v>147275.72831367806</v>
      </c>
      <c r="G21" s="88">
        <f ca="1">+Worksheet!V46</f>
        <v>146702.82956622544</v>
      </c>
      <c r="H21" s="3"/>
    </row>
    <row r="22" spans="1:8" x14ac:dyDescent="0.25">
      <c r="A22" s="64"/>
      <c r="B22" s="247" t="str">
        <f>+Worksheet!B97</f>
        <v>Business Return</v>
      </c>
      <c r="C22" s="90"/>
      <c r="D22" s="80"/>
      <c r="E22" s="80"/>
      <c r="F22" s="80"/>
      <c r="G22" s="72"/>
      <c r="H22" s="3"/>
    </row>
    <row r="23" spans="1:8" x14ac:dyDescent="0.25">
      <c r="A23" s="64"/>
      <c r="B23" s="34" t="s">
        <v>90</v>
      </c>
      <c r="C23" s="86">
        <f ca="1">+Worksheet!K97</f>
        <v>47500</v>
      </c>
      <c r="D23" s="86">
        <f ca="1">+Worksheet!L97</f>
        <v>84032.991976351303</v>
      </c>
      <c r="E23" s="86">
        <f ca="1">+Worksheet!M97</f>
        <v>109765.7137319204</v>
      </c>
      <c r="F23" s="86">
        <f ca="1">+Worksheet!N97</f>
        <v>117238.10536590256</v>
      </c>
      <c r="G23" s="86">
        <f ca="1">+Worksheet!O97</f>
        <v>103678.93702472474</v>
      </c>
      <c r="H23" s="3"/>
    </row>
    <row r="24" spans="1:8" x14ac:dyDescent="0.25">
      <c r="A24" s="64"/>
      <c r="B24" s="76" t="s">
        <v>65</v>
      </c>
      <c r="C24" s="87">
        <f ca="1">+Worksheet!C97</f>
        <v>47500</v>
      </c>
      <c r="D24" s="87">
        <f ca="1">+Worksheet!D97</f>
        <v>75815.374917523004</v>
      </c>
      <c r="E24" s="87">
        <f ca="1">+Worksheet!E97</f>
        <v>93115.130726270116</v>
      </c>
      <c r="F24" s="87">
        <f ca="1">+Worksheet!F97</f>
        <v>92089.819138169667</v>
      </c>
      <c r="G24" s="87">
        <f ca="1">+Worksheet!G97</f>
        <v>87006.774927320934</v>
      </c>
      <c r="H24" s="3"/>
    </row>
    <row r="25" spans="1:8" x14ac:dyDescent="0.25">
      <c r="A25" s="64"/>
      <c r="B25" s="76" t="s">
        <v>42</v>
      </c>
      <c r="C25" s="88">
        <f ca="1">+Worksheet!R97</f>
        <v>47500</v>
      </c>
      <c r="D25" s="88">
        <f ca="1">+Worksheet!S97</f>
        <v>67841.517857142782</v>
      </c>
      <c r="E25" s="88">
        <f ca="1">+Worksheet!T97</f>
        <v>77169.659516272426</v>
      </c>
      <c r="F25" s="88">
        <f ca="1">+Worksheet!U97</f>
        <v>68314.286741426651</v>
      </c>
      <c r="G25" s="88">
        <f ca="1">+Worksheet!V97</f>
        <v>71108.488038280615</v>
      </c>
      <c r="H25" s="3"/>
    </row>
    <row r="26" spans="1:8" ht="13" x14ac:dyDescent="0.25">
      <c r="A26" s="64"/>
      <c r="B26" s="423" t="s">
        <v>84</v>
      </c>
      <c r="C26" s="424"/>
      <c r="D26" s="424"/>
      <c r="E26" s="424"/>
      <c r="F26" s="424"/>
      <c r="G26" s="425"/>
      <c r="H26" s="3"/>
    </row>
    <row r="27" spans="1:8" ht="13" x14ac:dyDescent="0.25">
      <c r="A27" s="64"/>
      <c r="B27" s="93" t="s">
        <v>50</v>
      </c>
      <c r="C27" s="63">
        <f ca="1">+G24</f>
        <v>87006.774927320934</v>
      </c>
      <c r="D27" s="62" t="s">
        <v>85</v>
      </c>
      <c r="E27" s="94"/>
      <c r="F27" s="94"/>
      <c r="G27" s="235"/>
      <c r="H27" s="3"/>
    </row>
    <row r="28" spans="1:8" ht="13" x14ac:dyDescent="0.25">
      <c r="A28" s="64"/>
      <c r="B28" s="93" t="s">
        <v>43</v>
      </c>
      <c r="C28" s="99">
        <f ca="1">+G23</f>
        <v>103678.93702472474</v>
      </c>
      <c r="D28" s="100" t="s">
        <v>86</v>
      </c>
      <c r="E28" s="101">
        <f ca="1">+G25</f>
        <v>71108.488038280615</v>
      </c>
      <c r="F28" s="94" t="s">
        <v>85</v>
      </c>
      <c r="G28" s="79"/>
      <c r="H28" s="3"/>
    </row>
    <row r="29" spans="1:8" ht="13" x14ac:dyDescent="0.25">
      <c r="A29" s="3"/>
      <c r="B29" s="420" t="str">
        <f>copy</f>
        <v>© bizpep.com</v>
      </c>
      <c r="C29" s="421" t="e">
        <f>+#REF!</f>
        <v>#REF!</v>
      </c>
      <c r="D29" s="421" t="e">
        <f>+#REF!</f>
        <v>#REF!</v>
      </c>
      <c r="E29" s="421" t="e">
        <f>+#REF!</f>
        <v>#REF!</v>
      </c>
      <c r="F29" s="421" t="e">
        <f>+#REF!</f>
        <v>#REF!</v>
      </c>
      <c r="G29" s="422" t="e">
        <f>+#REF!</f>
        <v>#REF!</v>
      </c>
      <c r="H29" s="3"/>
    </row>
    <row r="30" spans="1:8" ht="18" x14ac:dyDescent="0.25">
      <c r="A30" s="3"/>
      <c r="B30" s="401"/>
      <c r="C30" s="401"/>
      <c r="D30" s="401"/>
      <c r="E30" s="401"/>
      <c r="F30" s="401"/>
      <c r="G30" s="401"/>
      <c r="H30" s="3"/>
    </row>
    <row r="31" spans="1:8" ht="18" x14ac:dyDescent="0.25">
      <c r="A31" s="3"/>
      <c r="B31" s="407"/>
      <c r="C31" s="407"/>
      <c r="D31" s="407"/>
      <c r="E31" s="407"/>
      <c r="F31" s="407"/>
      <c r="G31" s="407"/>
      <c r="H31" s="3"/>
    </row>
    <row r="32" spans="1:8" ht="18" x14ac:dyDescent="0.25">
      <c r="A32" s="3"/>
      <c r="B32" s="408"/>
      <c r="C32" s="408"/>
      <c r="D32" s="408"/>
      <c r="E32" s="408"/>
      <c r="F32" s="408"/>
      <c r="G32" s="408"/>
      <c r="H32" s="3"/>
    </row>
    <row r="33" spans="1:8" ht="18" x14ac:dyDescent="0.25">
      <c r="A33" s="3"/>
      <c r="B33" s="407"/>
      <c r="C33" s="407"/>
      <c r="D33" s="407"/>
      <c r="E33" s="407"/>
      <c r="F33" s="407"/>
      <c r="G33" s="407"/>
      <c r="H33" s="3"/>
    </row>
    <row r="34" spans="1:8" ht="18" x14ac:dyDescent="0.25">
      <c r="A34" s="3"/>
      <c r="B34" s="405"/>
      <c r="C34" s="405"/>
      <c r="D34" s="405"/>
      <c r="E34" s="405"/>
      <c r="F34" s="405"/>
      <c r="G34" s="405"/>
      <c r="H34" s="3"/>
    </row>
    <row r="35" spans="1:8" ht="18" x14ac:dyDescent="0.25">
      <c r="A35" s="3"/>
      <c r="B35" s="409"/>
      <c r="C35" s="409"/>
      <c r="D35" s="409"/>
      <c r="E35" s="409"/>
      <c r="F35" s="409"/>
      <c r="G35" s="409"/>
      <c r="H35" s="3"/>
    </row>
    <row r="36" spans="1:8" ht="18" x14ac:dyDescent="0.25">
      <c r="A36" s="3"/>
      <c r="B36" s="405"/>
      <c r="C36" s="405"/>
      <c r="D36" s="405"/>
      <c r="E36" s="405"/>
      <c r="F36" s="405"/>
      <c r="G36" s="405"/>
      <c r="H36" s="3"/>
    </row>
    <row r="37" spans="1:8" x14ac:dyDescent="0.25">
      <c r="A37" s="3"/>
      <c r="B37" s="406"/>
      <c r="C37" s="406"/>
      <c r="D37" s="406"/>
      <c r="E37" s="406"/>
      <c r="F37" s="406"/>
      <c r="G37" s="406"/>
      <c r="H37" s="3"/>
    </row>
    <row r="38" spans="1:8" x14ac:dyDescent="0.25">
      <c r="A38" s="3"/>
      <c r="B38" s="3"/>
      <c r="C38" s="3"/>
      <c r="D38" s="3"/>
      <c r="E38" s="3"/>
      <c r="F38" s="3"/>
      <c r="G38" s="3"/>
      <c r="H38" s="3"/>
    </row>
  </sheetData>
  <sheetProtection algorithmName="SHA-512" hashValue="gMPyZ1A1pac4FqSAeUh+yCAsUYQUUMX8GeIEobTDfR0arlVpoqsCsJdfbZ4qdYlRR/BQIV2mLNVzY/X1qujLqA==" saltValue="OCDky47ewz1MaQt8iwljLQ==" spinCount="100000" sheet="1" formatColumns="0" formatRows="0"/>
  <mergeCells count="17">
    <mergeCell ref="C2:G2"/>
    <mergeCell ref="C3:G3"/>
    <mergeCell ref="B5:G5"/>
    <mergeCell ref="B6:G6"/>
    <mergeCell ref="B29:G29"/>
    <mergeCell ref="B26:G26"/>
    <mergeCell ref="F7:G8"/>
    <mergeCell ref="B7:D7"/>
    <mergeCell ref="B8:D8"/>
    <mergeCell ref="B36:G36"/>
    <mergeCell ref="B37:G37"/>
    <mergeCell ref="B30:G30"/>
    <mergeCell ref="B31:G31"/>
    <mergeCell ref="B32:G32"/>
    <mergeCell ref="B33:G33"/>
    <mergeCell ref="B34:G34"/>
    <mergeCell ref="B35:G35"/>
  </mergeCells>
  <phoneticPr fontId="0" type="noConversion"/>
  <hyperlinks>
    <hyperlink ref="F7:G8" location="'Valuation Analysis'!A1" tooltip="Go To Valuation Analysis" display="Go to Valuation" xr:uid="{00000000-0004-0000-0200-000000000000}"/>
    <hyperlink ref="B7:D7" location="Instructions!B54" tooltip="Go to Instruction Sheet" display="Optimistic, improve the variation of all Relative Indicators by" xr:uid="{00000000-0004-0000-0200-000001000000}"/>
    <hyperlink ref="B8:D8" location="Instructions!B55" tooltip="Go to Instruction Sheet" display="Pessimistic, degrade the variation of all Relative Indicators by" xr:uid="{00000000-0004-0000-0200-000002000000}"/>
    <hyperlink ref="B10" location="Instructions!B56" tooltip="Go to Instruction Sheet" display="Instructions!B56" xr:uid="{00000000-0004-0000-0200-000003000000}"/>
    <hyperlink ref="B11" location="Instructions!B57" tooltip="Go to Instruction Sheet" display="Optimistic" xr:uid="{00000000-0004-0000-0200-000004000000}"/>
    <hyperlink ref="B12" location="Instructions!B58" tooltip="Go to Instruction Sheet" display="Expected" xr:uid="{00000000-0004-0000-0200-000005000000}"/>
    <hyperlink ref="B13" location="Instructions!B59" tooltip="Go to Instruction Sheet" display="Pessimistic" xr:uid="{00000000-0004-0000-0200-000006000000}"/>
    <hyperlink ref="B14" location="Instructions!B60" tooltip="Go to Instruction Sheet" display="Instructions!B60" xr:uid="{00000000-0004-0000-0200-000007000000}"/>
    <hyperlink ref="B18" location="Instructions!B61" tooltip="Go to Instruction Sheet" display="Instructions!B61" xr:uid="{00000000-0004-0000-0200-000008000000}"/>
    <hyperlink ref="B22" location="Instructions!B62" tooltip="Go to Instruction Sheet" display="Instructions!B62" xr:uid="{00000000-0004-0000-0200-000009000000}"/>
  </hyperlinks>
  <pageMargins left="0.75" right="0.75" top="1" bottom="1" header="0.5" footer="0.5"/>
  <pageSetup scale="83" orientation="portrait" horizontalDpi="360" vertic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H42"/>
  <sheetViews>
    <sheetView showGridLines="0" topLeftCell="A4" zoomScaleNormal="100" workbookViewId="0"/>
  </sheetViews>
  <sheetFormatPr defaultColWidth="9.1796875" defaultRowHeight="12.5" x14ac:dyDescent="0.25"/>
  <cols>
    <col min="1" max="1" width="2.1796875" style="4" customWidth="1"/>
    <col min="2" max="2" width="45" style="4" customWidth="1"/>
    <col min="3" max="7" width="11.7265625" style="4" customWidth="1"/>
    <col min="8" max="8" width="2.1796875" style="4" customWidth="1"/>
    <col min="9" max="16384" width="9.1796875" style="4"/>
  </cols>
  <sheetData>
    <row r="1" spans="1:8" ht="3.75" hidden="1" customHeight="1" x14ac:dyDescent="0.25">
      <c r="A1" s="2"/>
      <c r="B1" s="2"/>
      <c r="C1" s="2"/>
      <c r="D1" s="2"/>
      <c r="E1" s="2"/>
      <c r="F1" s="2"/>
      <c r="G1" s="3"/>
      <c r="H1" s="3"/>
    </row>
    <row r="2" spans="1:8" ht="13.5" hidden="1" customHeight="1" x14ac:dyDescent="0.25">
      <c r="A2" s="2"/>
      <c r="B2" s="2"/>
      <c r="C2" s="410"/>
      <c r="D2" s="452"/>
      <c r="E2" s="452"/>
      <c r="F2" s="452"/>
      <c r="G2" s="452"/>
      <c r="H2" s="3"/>
    </row>
    <row r="3" spans="1:8" ht="28.5" hidden="1" customHeight="1" x14ac:dyDescent="0.25">
      <c r="A3" s="2"/>
      <c r="B3" s="2"/>
      <c r="C3" s="412"/>
      <c r="D3" s="453"/>
      <c r="E3" s="453"/>
      <c r="F3" s="453"/>
      <c r="G3" s="453"/>
      <c r="H3" s="3"/>
    </row>
    <row r="4" spans="1:8" ht="3.75" customHeight="1" x14ac:dyDescent="0.3">
      <c r="A4" s="2"/>
      <c r="B4" s="2"/>
      <c r="C4" s="2"/>
      <c r="D4" s="10"/>
      <c r="E4" s="10"/>
      <c r="F4" s="2"/>
      <c r="G4" s="3"/>
      <c r="H4" s="3"/>
    </row>
    <row r="5" spans="1:8" ht="13" x14ac:dyDescent="0.25">
      <c r="A5" s="2"/>
      <c r="B5" s="414" t="str">
        <f xml:space="preserve"> "Valuation Analysis - " &amp; title</f>
        <v>Valuation Analysis - Business Valuation</v>
      </c>
      <c r="C5" s="454"/>
      <c r="D5" s="455"/>
      <c r="E5" s="455"/>
      <c r="F5" s="455"/>
      <c r="G5" s="456"/>
      <c r="H5" s="3"/>
    </row>
    <row r="6" spans="1:8" ht="38.25" customHeight="1" x14ac:dyDescent="0.25">
      <c r="A6" s="2"/>
      <c r="B6" s="457" t="s">
        <v>236</v>
      </c>
      <c r="C6" s="458"/>
      <c r="D6" s="458"/>
      <c r="E6" s="458"/>
      <c r="F6" s="458"/>
      <c r="G6" s="459"/>
      <c r="H6" s="3"/>
    </row>
    <row r="7" spans="1:8" x14ac:dyDescent="0.25">
      <c r="A7" s="2"/>
      <c r="B7" s="74"/>
      <c r="C7" s="53"/>
      <c r="D7" s="53"/>
      <c r="E7" s="53"/>
      <c r="F7" s="53"/>
      <c r="G7" s="72"/>
      <c r="H7" s="3"/>
    </row>
    <row r="8" spans="1:8" ht="12.75" customHeight="1" x14ac:dyDescent="0.25">
      <c r="A8" s="2"/>
      <c r="B8" s="75" t="s">
        <v>9</v>
      </c>
      <c r="C8" s="95" t="s">
        <v>6</v>
      </c>
      <c r="D8" s="228">
        <f>IF(Input!C15=Input!B86,Input!C29,Input!D29)</f>
        <v>0</v>
      </c>
      <c r="E8" s="232" t="s">
        <v>5</v>
      </c>
      <c r="F8" s="231">
        <f>+Input!C60</f>
        <v>0</v>
      </c>
      <c r="G8" s="235"/>
      <c r="H8" s="3"/>
    </row>
    <row r="9" spans="1:8" ht="12.75" customHeight="1" x14ac:dyDescent="0.25">
      <c r="A9" s="2"/>
      <c r="B9" s="76" t="s">
        <v>135</v>
      </c>
      <c r="C9" s="434" t="s">
        <v>11</v>
      </c>
      <c r="D9" s="451"/>
      <c r="E9" s="434" t="s">
        <v>10</v>
      </c>
      <c r="F9" s="450"/>
      <c r="G9" s="235"/>
      <c r="H9" s="3"/>
    </row>
    <row r="10" spans="1:8" ht="12.75" customHeight="1" x14ac:dyDescent="0.25">
      <c r="A10" s="2"/>
      <c r="B10" s="74"/>
      <c r="C10" s="233"/>
      <c r="D10" s="236"/>
      <c r="E10" s="233"/>
      <c r="F10" s="237"/>
      <c r="G10" s="235"/>
      <c r="H10" s="3"/>
    </row>
    <row r="11" spans="1:8" ht="12.75" customHeight="1" x14ac:dyDescent="0.25">
      <c r="A11" s="2"/>
      <c r="B11" s="75" t="s">
        <v>91</v>
      </c>
      <c r="C11" s="238" t="s">
        <v>90</v>
      </c>
      <c r="D11" s="280">
        <f>+'Sensitivity Analysis'!E7</f>
        <v>0.2</v>
      </c>
      <c r="E11" s="95" t="s">
        <v>42</v>
      </c>
      <c r="F11" s="280">
        <f>+'Sensitivity Analysis'!E8</f>
        <v>0.2</v>
      </c>
      <c r="G11" s="72"/>
      <c r="H11" s="3"/>
    </row>
    <row r="12" spans="1:8" ht="13" x14ac:dyDescent="0.25">
      <c r="A12" s="2"/>
      <c r="B12" s="73"/>
      <c r="C12" s="434" t="s">
        <v>92</v>
      </c>
      <c r="D12" s="434"/>
      <c r="E12" s="434"/>
      <c r="F12" s="434"/>
      <c r="G12" s="72"/>
      <c r="H12" s="3"/>
    </row>
    <row r="13" spans="1:8" ht="13" x14ac:dyDescent="0.25">
      <c r="A13" s="2"/>
      <c r="B13" s="73"/>
      <c r="C13" s="233"/>
      <c r="D13" s="233"/>
      <c r="E13" s="233"/>
      <c r="F13" s="233"/>
      <c r="G13" s="72"/>
      <c r="H13" s="3"/>
    </row>
    <row r="14" spans="1:8" x14ac:dyDescent="0.25">
      <c r="A14" s="2"/>
      <c r="B14" s="437" t="s">
        <v>185</v>
      </c>
      <c r="C14" s="438"/>
      <c r="D14" s="228">
        <f ca="1">+Input!$C59</f>
        <v>248590.78550663125</v>
      </c>
      <c r="E14" s="439" t="s">
        <v>235</v>
      </c>
      <c r="F14" s="440"/>
      <c r="G14" s="441"/>
      <c r="H14" s="3"/>
    </row>
    <row r="15" spans="1:8" ht="13" x14ac:dyDescent="0.25">
      <c r="A15" s="2"/>
      <c r="B15" s="73"/>
      <c r="C15" s="233"/>
      <c r="D15" s="233"/>
      <c r="E15" s="233"/>
      <c r="F15" s="233"/>
      <c r="G15" s="72"/>
      <c r="H15" s="3"/>
    </row>
    <row r="16" spans="1:8" ht="26" x14ac:dyDescent="0.3">
      <c r="A16" s="2"/>
      <c r="B16" s="102" t="s">
        <v>38</v>
      </c>
      <c r="C16" s="44" t="s">
        <v>25</v>
      </c>
      <c r="D16" s="91" t="s">
        <v>26</v>
      </c>
      <c r="E16" s="91" t="s">
        <v>27</v>
      </c>
      <c r="F16" s="91" t="s">
        <v>28</v>
      </c>
      <c r="G16" s="92" t="s">
        <v>34</v>
      </c>
      <c r="H16" s="3"/>
    </row>
    <row r="17" spans="1:8" ht="13" x14ac:dyDescent="0.25">
      <c r="A17" s="2"/>
      <c r="B17" s="31" t="s">
        <v>90</v>
      </c>
      <c r="C17" s="86">
        <f ca="1">+Worksheet!K97</f>
        <v>47500</v>
      </c>
      <c r="D17" s="86">
        <f ca="1">+Worksheet!L97</f>
        <v>84032.991976351303</v>
      </c>
      <c r="E17" s="86">
        <f ca="1">+Worksheet!M97</f>
        <v>109765.7137319204</v>
      </c>
      <c r="F17" s="86">
        <f ca="1">+Worksheet!N97</f>
        <v>117238.10536590256</v>
      </c>
      <c r="G17" s="86">
        <f ca="1">+Worksheet!O97</f>
        <v>103678.93702472474</v>
      </c>
      <c r="H17" s="3"/>
    </row>
    <row r="18" spans="1:8" x14ac:dyDescent="0.25">
      <c r="A18" s="2"/>
      <c r="B18" s="246" t="s">
        <v>190</v>
      </c>
      <c r="C18" s="96">
        <f ca="1">+Worksheet!K99</f>
        <v>0.19107707432998525</v>
      </c>
      <c r="D18" s="96">
        <f ca="1">+Worksheet!L99</f>
        <v>0.33803743692708066</v>
      </c>
      <c r="E18" s="96">
        <f ca="1">+Worksheet!M99</f>
        <v>0.44155181982395869</v>
      </c>
      <c r="F18" s="96">
        <f ca="1">+Worksheet!N99</f>
        <v>0.47161082470120436</v>
      </c>
      <c r="G18" s="96">
        <f ca="1">+Worksheet!O99</f>
        <v>0.41706669381741451</v>
      </c>
      <c r="H18" s="3"/>
    </row>
    <row r="19" spans="1:8" ht="13" x14ac:dyDescent="0.25">
      <c r="A19" s="2"/>
      <c r="B19" s="75" t="s">
        <v>65</v>
      </c>
      <c r="C19" s="87">
        <f ca="1">+Worksheet!C97</f>
        <v>47500</v>
      </c>
      <c r="D19" s="87">
        <f ca="1">+Worksheet!D97</f>
        <v>75815.374917523004</v>
      </c>
      <c r="E19" s="87">
        <f ca="1">+Worksheet!E97</f>
        <v>93115.130726270116</v>
      </c>
      <c r="F19" s="87">
        <f ca="1">+Worksheet!F97</f>
        <v>92089.819138169667</v>
      </c>
      <c r="G19" s="87">
        <f ca="1">+Worksheet!G97</f>
        <v>87006.774927320934</v>
      </c>
      <c r="H19" s="3"/>
    </row>
    <row r="20" spans="1:8" ht="13" x14ac:dyDescent="0.25">
      <c r="A20" s="2"/>
      <c r="B20" s="31" t="str">
        <f>+B18</f>
        <v>% Return on Total Investment</v>
      </c>
      <c r="C20" s="97">
        <f ca="1">+Worksheet!C99</f>
        <v>0.19107707432998525</v>
      </c>
      <c r="D20" s="97">
        <f ca="1">+Worksheet!D99</f>
        <v>0.30498063217834193</v>
      </c>
      <c r="E20" s="97">
        <f ca="1">+Worksheet!E99</f>
        <v>0.3745719316848381</v>
      </c>
      <c r="F20" s="97">
        <f ca="1">+Worksheet!F99</f>
        <v>0.37044743613681985</v>
      </c>
      <c r="G20" s="97">
        <f ca="1">+Worksheet!G99</f>
        <v>0.35</v>
      </c>
      <c r="H20" s="3"/>
    </row>
    <row r="21" spans="1:8" ht="13" x14ac:dyDescent="0.25">
      <c r="A21" s="2"/>
      <c r="B21" s="75" t="s">
        <v>42</v>
      </c>
      <c r="C21" s="88">
        <f ca="1">+Worksheet!R97</f>
        <v>47500</v>
      </c>
      <c r="D21" s="88">
        <f ca="1">+Worksheet!S97</f>
        <v>67841.517857142782</v>
      </c>
      <c r="E21" s="88">
        <f ca="1">+Worksheet!T97</f>
        <v>77169.659516272426</v>
      </c>
      <c r="F21" s="88">
        <f ca="1">+Worksheet!U97</f>
        <v>68314.286741426651</v>
      </c>
      <c r="G21" s="88">
        <f ca="1">+Worksheet!V97</f>
        <v>71108.488038280615</v>
      </c>
      <c r="H21" s="3"/>
    </row>
    <row r="22" spans="1:8" ht="13" x14ac:dyDescent="0.25">
      <c r="A22" s="2"/>
      <c r="B22" s="31" t="str">
        <f>+B18</f>
        <v>% Return on Total Investment</v>
      </c>
      <c r="C22" s="98">
        <f ca="1">+Worksheet!R99</f>
        <v>0.19107707432998525</v>
      </c>
      <c r="D22" s="98">
        <f ca="1">+Worksheet!S99</f>
        <v>0.27290439474206935</v>
      </c>
      <c r="E22" s="98">
        <f ca="1">+Worksheet!T99</f>
        <v>0.31042847931390399</v>
      </c>
      <c r="F22" s="98">
        <f ca="1">+Worksheet!U99</f>
        <v>0.27480619043140014</v>
      </c>
      <c r="G22" s="98">
        <f ca="1">+Worksheet!V99</f>
        <v>0.28604635482912449</v>
      </c>
      <c r="H22" s="3"/>
    </row>
    <row r="23" spans="1:8" ht="13" x14ac:dyDescent="0.25">
      <c r="A23" s="2"/>
      <c r="B23" s="75"/>
      <c r="C23" s="61"/>
      <c r="D23" s="61"/>
      <c r="E23" s="61"/>
      <c r="F23" s="61"/>
      <c r="G23" s="72"/>
      <c r="H23" s="3"/>
    </row>
    <row r="24" spans="1:8" ht="13" x14ac:dyDescent="0.25">
      <c r="A24" s="2"/>
      <c r="B24" s="247" t="s">
        <v>87</v>
      </c>
      <c r="C24" s="281">
        <v>0.35</v>
      </c>
      <c r="D24" s="442" t="s">
        <v>234</v>
      </c>
      <c r="E24" s="438"/>
      <c r="F24" s="438"/>
      <c r="G24" s="443"/>
      <c r="H24" s="3"/>
    </row>
    <row r="25" spans="1:8" ht="13" x14ac:dyDescent="0.25">
      <c r="A25" s="2"/>
      <c r="B25" s="247" t="s">
        <v>67</v>
      </c>
      <c r="C25" s="63">
        <f ca="1">+G19/C$24</f>
        <v>248590.78550663125</v>
      </c>
      <c r="D25" s="444" t="s">
        <v>210</v>
      </c>
      <c r="E25" s="444"/>
      <c r="F25" s="444"/>
      <c r="G25" s="445"/>
      <c r="H25" s="3"/>
    </row>
    <row r="26" spans="1:8" ht="12.75" customHeight="1" x14ac:dyDescent="0.25">
      <c r="A26" s="2"/>
      <c r="B26" s="247" t="s">
        <v>46</v>
      </c>
      <c r="C26" s="99">
        <f ca="1">+G17/C$24</f>
        <v>296225.53435635642</v>
      </c>
      <c r="D26" s="446" t="s">
        <v>211</v>
      </c>
      <c r="E26" s="446"/>
      <c r="F26" s="446"/>
      <c r="G26" s="447"/>
      <c r="H26" s="3"/>
    </row>
    <row r="27" spans="1:8" ht="12.75" customHeight="1" x14ac:dyDescent="0.25">
      <c r="A27" s="2"/>
      <c r="B27" s="247" t="s">
        <v>47</v>
      </c>
      <c r="C27" s="101">
        <f ca="1">+G21/C$24</f>
        <v>203167.10868080176</v>
      </c>
      <c r="D27" s="448" t="s">
        <v>212</v>
      </c>
      <c r="E27" s="448"/>
      <c r="F27" s="448"/>
      <c r="G27" s="449"/>
      <c r="H27" s="3"/>
    </row>
    <row r="28" spans="1:8" ht="12.75" customHeight="1" x14ac:dyDescent="0.25">
      <c r="A28" s="2"/>
      <c r="B28" s="423" t="s">
        <v>84</v>
      </c>
      <c r="C28" s="435"/>
      <c r="D28" s="435"/>
      <c r="E28" s="435"/>
      <c r="F28" s="435"/>
      <c r="G28" s="436"/>
      <c r="H28" s="3"/>
    </row>
    <row r="29" spans="1:8" ht="12.75" customHeight="1" x14ac:dyDescent="0.25">
      <c r="A29" s="2"/>
      <c r="B29" s="93" t="s">
        <v>89</v>
      </c>
      <c r="C29" s="63">
        <f ca="1">+G19</f>
        <v>87006.774927320934</v>
      </c>
      <c r="D29" s="62" t="s">
        <v>85</v>
      </c>
      <c r="E29" s="94"/>
      <c r="F29" s="94"/>
      <c r="G29" s="235"/>
      <c r="H29" s="3"/>
    </row>
    <row r="30" spans="1:8" ht="12.75" customHeight="1" x14ac:dyDescent="0.25">
      <c r="A30" s="2"/>
      <c r="B30" s="93" t="s">
        <v>43</v>
      </c>
      <c r="C30" s="99">
        <f ca="1">+G17</f>
        <v>103678.93702472474</v>
      </c>
      <c r="D30" s="100" t="s">
        <v>86</v>
      </c>
      <c r="E30" s="101">
        <f ca="1">+G21</f>
        <v>71108.488038280615</v>
      </c>
      <c r="F30" s="94" t="s">
        <v>85</v>
      </c>
      <c r="G30" s="79"/>
      <c r="H30" s="3"/>
    </row>
    <row r="31" spans="1:8" ht="12.75" customHeight="1" x14ac:dyDescent="0.25">
      <c r="A31" s="2"/>
      <c r="B31" s="93" t="s">
        <v>66</v>
      </c>
      <c r="C31" s="9">
        <f>+C24</f>
        <v>0.35</v>
      </c>
      <c r="D31" s="432" t="s">
        <v>88</v>
      </c>
      <c r="E31" s="433"/>
      <c r="F31" s="433"/>
      <c r="G31" s="239">
        <f ca="1">+C25</f>
        <v>248590.78550663125</v>
      </c>
      <c r="H31" s="3"/>
    </row>
    <row r="32" spans="1:8" ht="12.75" customHeight="1" x14ac:dyDescent="0.25">
      <c r="A32" s="2"/>
      <c r="B32" s="93" t="s">
        <v>237</v>
      </c>
      <c r="C32" s="99">
        <f ca="1">+C26</f>
        <v>296225.53435635642</v>
      </c>
      <c r="D32" s="100" t="s">
        <v>86</v>
      </c>
      <c r="E32" s="101">
        <f ca="1">+C27</f>
        <v>203167.10868080176</v>
      </c>
      <c r="F32" s="307" t="s">
        <v>238</v>
      </c>
      <c r="G32" s="79"/>
      <c r="H32" s="3"/>
    </row>
    <row r="33" spans="1:8" ht="12.75" customHeight="1" x14ac:dyDescent="0.25">
      <c r="A33" s="2"/>
      <c r="B33" s="420" t="str">
        <f>copy</f>
        <v>© bizpep.com</v>
      </c>
      <c r="C33" s="421" t="e">
        <f>+#REF!</f>
        <v>#REF!</v>
      </c>
      <c r="D33" s="421" t="e">
        <f>+#REF!</f>
        <v>#REF!</v>
      </c>
      <c r="E33" s="421" t="e">
        <f>+#REF!</f>
        <v>#REF!</v>
      </c>
      <c r="F33" s="421" t="e">
        <f>+#REF!</f>
        <v>#REF!</v>
      </c>
      <c r="G33" s="422" t="e">
        <f>+#REF!</f>
        <v>#REF!</v>
      </c>
      <c r="H33" s="3"/>
    </row>
    <row r="34" spans="1:8" ht="18" x14ac:dyDescent="0.25">
      <c r="A34" s="2"/>
      <c r="B34" s="401"/>
      <c r="C34" s="401"/>
      <c r="D34" s="401"/>
      <c r="E34" s="401"/>
      <c r="F34" s="401"/>
      <c r="G34" s="401"/>
      <c r="H34" s="3"/>
    </row>
    <row r="35" spans="1:8" ht="18" x14ac:dyDescent="0.25">
      <c r="A35" s="3"/>
      <c r="B35" s="407"/>
      <c r="C35" s="407"/>
      <c r="D35" s="407"/>
      <c r="E35" s="407"/>
      <c r="F35" s="407"/>
      <c r="G35" s="407"/>
      <c r="H35" s="3"/>
    </row>
    <row r="36" spans="1:8" ht="18" x14ac:dyDescent="0.25">
      <c r="A36" s="3"/>
      <c r="B36" s="408"/>
      <c r="C36" s="408"/>
      <c r="D36" s="408"/>
      <c r="E36" s="408"/>
      <c r="F36" s="408"/>
      <c r="G36" s="408"/>
      <c r="H36" s="3"/>
    </row>
    <row r="37" spans="1:8" ht="18" x14ac:dyDescent="0.25">
      <c r="A37" s="3"/>
      <c r="B37" s="407"/>
      <c r="C37" s="407"/>
      <c r="D37" s="407"/>
      <c r="E37" s="407"/>
      <c r="F37" s="407"/>
      <c r="G37" s="407"/>
      <c r="H37" s="3"/>
    </row>
    <row r="38" spans="1:8" ht="18" x14ac:dyDescent="0.25">
      <c r="A38" s="3"/>
      <c r="B38" s="405"/>
      <c r="C38" s="405"/>
      <c r="D38" s="405"/>
      <c r="E38" s="405"/>
      <c r="F38" s="405"/>
      <c r="G38" s="405"/>
      <c r="H38" s="3"/>
    </row>
    <row r="39" spans="1:8" ht="18" x14ac:dyDescent="0.25">
      <c r="A39" s="3"/>
      <c r="B39" s="409"/>
      <c r="C39" s="409"/>
      <c r="D39" s="409"/>
      <c r="E39" s="409"/>
      <c r="F39" s="409"/>
      <c r="G39" s="409"/>
      <c r="H39" s="3"/>
    </row>
    <row r="40" spans="1:8" ht="18" x14ac:dyDescent="0.25">
      <c r="A40" s="3"/>
      <c r="B40" s="405"/>
      <c r="C40" s="405"/>
      <c r="D40" s="405"/>
      <c r="E40" s="405"/>
      <c r="F40" s="405"/>
      <c r="G40" s="405"/>
      <c r="H40" s="3"/>
    </row>
    <row r="41" spans="1:8" x14ac:dyDescent="0.25">
      <c r="A41" s="3"/>
      <c r="B41" s="406"/>
      <c r="C41" s="406"/>
      <c r="D41" s="406"/>
      <c r="E41" s="406"/>
      <c r="F41" s="406"/>
      <c r="G41" s="406"/>
      <c r="H41" s="3"/>
    </row>
    <row r="42" spans="1:8" x14ac:dyDescent="0.25">
      <c r="A42" s="3"/>
      <c r="B42" s="3"/>
      <c r="C42" s="3"/>
      <c r="D42" s="3"/>
      <c r="E42" s="3"/>
      <c r="F42" s="3"/>
      <c r="G42" s="3"/>
      <c r="H42" s="3"/>
    </row>
  </sheetData>
  <sheetProtection algorithmName="SHA-512" hashValue="ongDwveW6goA7sKdB4GzK9r1rFa2ZLf5qgowW0UqJD6ubM/7VYvBuZuMgWbp1yo2eCOEpyCkHlRKQFKhT0PWsA==" saltValue="j8kPkD4RVUpruGwY+4pDug==" spinCount="100000" sheet="1" formatColumns="0" formatRows="0"/>
  <mergeCells count="24">
    <mergeCell ref="E9:F9"/>
    <mergeCell ref="C9:D9"/>
    <mergeCell ref="C2:G2"/>
    <mergeCell ref="C3:G3"/>
    <mergeCell ref="B5:G5"/>
    <mergeCell ref="B6:G6"/>
    <mergeCell ref="D31:F31"/>
    <mergeCell ref="C12:F12"/>
    <mergeCell ref="B28:G28"/>
    <mergeCell ref="B33:G33"/>
    <mergeCell ref="B14:C14"/>
    <mergeCell ref="E14:G14"/>
    <mergeCell ref="D24:G24"/>
    <mergeCell ref="D25:G25"/>
    <mergeCell ref="D26:G26"/>
    <mergeCell ref="D27:G27"/>
    <mergeCell ref="B40:G40"/>
    <mergeCell ref="B41:G41"/>
    <mergeCell ref="B34:G34"/>
    <mergeCell ref="B35:G35"/>
    <mergeCell ref="B36:G36"/>
    <mergeCell ref="B37:G37"/>
    <mergeCell ref="B38:G38"/>
    <mergeCell ref="B39:G39"/>
  </mergeCells>
  <phoneticPr fontId="0" type="noConversion"/>
  <hyperlinks>
    <hyperlink ref="C12:F12" location="'Sensitivity Analysis'!E7" tooltip="Go to Sensitivity Analysis to adjust sensitivity factors" display="Adjust Sensitivity" xr:uid="{00000000-0004-0000-0300-000000000000}"/>
    <hyperlink ref="C9:D9" location="Input!C29" tooltip="Go to the Input Sheet to adjust Interest Cost" display="Adjust Interest Cost" xr:uid="{00000000-0004-0000-0300-000001000000}"/>
    <hyperlink ref="E9:F9" location="Input!C60" tooltip="Go to the Input Sheet to adjust Finance Amount" display="Adjust Finance Amount" xr:uid="{00000000-0004-0000-0300-000002000000}"/>
    <hyperlink ref="B18" location="Instructions!B64" tooltip="Go to Instruction Sheet" display="% Return on Total Investment" xr:uid="{00000000-0004-0000-0300-000003000000}"/>
    <hyperlink ref="B24" location="Instructions!B65" tooltip="Go to Instruction Sheet" display="For an average 3 Year Return on Investment of" xr:uid="{00000000-0004-0000-0300-000004000000}"/>
    <hyperlink ref="B25" location="Instructions!B66" tooltip="Go to Instruction Sheet" display="Expected Return results in a Valuation of" xr:uid="{00000000-0004-0000-0300-000005000000}"/>
    <hyperlink ref="B26" location="B67" tooltip="Go to Instruction Sheet" display="Optimistic Return results in a Valuation of" xr:uid="{00000000-0004-0000-0300-000006000000}"/>
    <hyperlink ref="B27" location="B68" tooltip="Go to Instruction Sheet" display="Pessimistic Return results in a Valuation of" xr:uid="{00000000-0004-0000-0300-000007000000}"/>
  </hyperlinks>
  <pageMargins left="0.75" right="0.75" top="1" bottom="1" header="0.5" footer="0.5"/>
  <pageSetup scale="83" orientation="portrait" horizontalDpi="360" verticalDpi="4294967293"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H65"/>
  <sheetViews>
    <sheetView showGridLines="0" zoomScaleNormal="100" workbookViewId="0"/>
  </sheetViews>
  <sheetFormatPr defaultRowHeight="12.5" x14ac:dyDescent="0.25"/>
  <cols>
    <col min="1" max="1" width="2.26953125" customWidth="1"/>
    <col min="2" max="2" width="39.1796875" customWidth="1"/>
    <col min="3" max="7" width="12.7265625" customWidth="1"/>
    <col min="8" max="8" width="4.26953125" customWidth="1"/>
  </cols>
  <sheetData>
    <row r="1" spans="1:8" ht="3.75" customHeight="1" x14ac:dyDescent="0.25">
      <c r="A1" s="2"/>
      <c r="B1" s="2"/>
      <c r="C1" s="2"/>
      <c r="D1" s="2"/>
      <c r="E1" s="2"/>
      <c r="F1" s="2"/>
      <c r="G1" s="2"/>
      <c r="H1" s="2"/>
    </row>
    <row r="2" spans="1:8" ht="13" x14ac:dyDescent="0.25">
      <c r="A2" s="3"/>
      <c r="B2" s="460" t="str">
        <f xml:space="preserve"> "Expected Results - " &amp; title</f>
        <v>Expected Results - Business Valuation</v>
      </c>
      <c r="C2" s="461"/>
      <c r="D2" s="461"/>
      <c r="E2" s="461"/>
      <c r="F2" s="461"/>
      <c r="G2" s="462"/>
      <c r="H2" s="3"/>
    </row>
    <row r="3" spans="1:8" ht="13" x14ac:dyDescent="0.3">
      <c r="A3" s="3"/>
      <c r="B3" s="224" t="str">
        <f>Worksheet!B2</f>
        <v>Expected Forecast</v>
      </c>
      <c r="C3" s="21"/>
      <c r="D3" s="21"/>
      <c r="E3" s="21"/>
      <c r="F3" s="22"/>
      <c r="G3" s="225"/>
      <c r="H3" s="24"/>
    </row>
    <row r="4" spans="1:8" ht="13" x14ac:dyDescent="0.3">
      <c r="A4" s="3"/>
      <c r="B4" s="148" t="str">
        <f>Worksheet!B3</f>
        <v>Example Business</v>
      </c>
      <c r="C4" s="21"/>
      <c r="D4" s="21"/>
      <c r="E4" s="21"/>
      <c r="F4" s="22"/>
      <c r="G4" s="225"/>
      <c r="H4" s="24"/>
    </row>
    <row r="5" spans="1:8" ht="26" x14ac:dyDescent="0.25">
      <c r="A5" s="3"/>
      <c r="B5" s="153"/>
      <c r="C5" s="297" t="s">
        <v>25</v>
      </c>
      <c r="D5" s="298" t="s">
        <v>26</v>
      </c>
      <c r="E5" s="298" t="s">
        <v>27</v>
      </c>
      <c r="F5" s="298" t="s">
        <v>28</v>
      </c>
      <c r="G5" s="297" t="s">
        <v>34</v>
      </c>
      <c r="H5" s="3"/>
    </row>
    <row r="6" spans="1:8" ht="13" x14ac:dyDescent="0.3">
      <c r="A6" s="3"/>
      <c r="B6" s="148" t="str">
        <f>Worksheet!B5</f>
        <v>Business Revenue</v>
      </c>
      <c r="C6" s="222">
        <f ca="1">Worksheet!C5</f>
        <v>500000</v>
      </c>
      <c r="D6" s="46">
        <f ca="1">Worksheet!D5</f>
        <v>560679.61165048543</v>
      </c>
      <c r="E6" s="47">
        <f ca="1">Worksheet!E5</f>
        <v>588713.59223300975</v>
      </c>
      <c r="F6" s="48">
        <f ca="1">Worksheet!F5</f>
        <v>625128.8659793816</v>
      </c>
      <c r="G6" s="222">
        <f ca="1">Worksheet!G5</f>
        <v>591507.35662095889</v>
      </c>
      <c r="H6" s="54"/>
    </row>
    <row r="7" spans="1:8" ht="13" x14ac:dyDescent="0.3">
      <c r="A7" s="3"/>
      <c r="B7" s="148" t="str">
        <f>Worksheet!B6</f>
        <v>Expenses</v>
      </c>
      <c r="C7" s="25"/>
      <c r="D7" s="26"/>
      <c r="E7" s="27"/>
      <c r="F7" s="28"/>
      <c r="G7" s="60"/>
      <c r="H7" s="54"/>
    </row>
    <row r="8" spans="1:8" ht="13" x14ac:dyDescent="0.3">
      <c r="A8" s="3"/>
      <c r="B8" s="148" t="str">
        <f>Worksheet!B7</f>
        <v>Variable Costs</v>
      </c>
      <c r="C8" s="29"/>
      <c r="D8" s="30"/>
      <c r="E8" s="30"/>
      <c r="F8" s="29"/>
      <c r="G8" s="60"/>
      <c r="H8" s="54"/>
    </row>
    <row r="9" spans="1:8" ht="13" x14ac:dyDescent="0.3">
      <c r="A9" s="3"/>
      <c r="B9" s="149" t="str">
        <f>Worksheet!B8</f>
        <v>Materials &amp; Supplies</v>
      </c>
      <c r="C9" s="50">
        <f>Worksheet!C8</f>
        <v>10000</v>
      </c>
      <c r="D9" s="49">
        <f ca="1">Worksheet!D8</f>
        <v>11431.331888019608</v>
      </c>
      <c r="E9" s="49">
        <f ca="1">Worksheet!E8</f>
        <v>12002.898482420587</v>
      </c>
      <c r="F9" s="50">
        <f ca="1">Worksheet!F8</f>
        <v>12745.345811230112</v>
      </c>
      <c r="G9" s="222">
        <f ca="1">Worksheet!G8</f>
        <v>12059.858727223434</v>
      </c>
      <c r="H9" s="55"/>
    </row>
    <row r="10" spans="1:8" x14ac:dyDescent="0.25">
      <c r="A10" s="3"/>
      <c r="B10" s="34" t="str">
        <f>Worksheet!B9</f>
        <v>% Revenue</v>
      </c>
      <c r="C10" s="35">
        <f ca="1">Worksheet!C9</f>
        <v>0.02</v>
      </c>
      <c r="D10" s="36">
        <f ca="1">Worksheet!D9</f>
        <v>2.0388349514563111E-2</v>
      </c>
      <c r="E10" s="36">
        <f ca="1">Worksheet!E9</f>
        <v>2.0388349514563107E-2</v>
      </c>
      <c r="F10" s="35">
        <f ca="1">Worksheet!F9</f>
        <v>2.0388349514563111E-2</v>
      </c>
      <c r="G10" s="35">
        <f ca="1">Worksheet!G9</f>
        <v>2.0388349514563107E-2</v>
      </c>
      <c r="H10" s="55"/>
    </row>
    <row r="11" spans="1:8" ht="13" x14ac:dyDescent="0.3">
      <c r="A11" s="3"/>
      <c r="B11" s="149" t="str">
        <f>Worksheet!B10</f>
        <v>Labor excluding Owner</v>
      </c>
      <c r="C11" s="50">
        <f>Worksheet!C10</f>
        <v>200000</v>
      </c>
      <c r="D11" s="49">
        <f ca="1">Worksheet!D10</f>
        <v>222477.96682062396</v>
      </c>
      <c r="E11" s="49">
        <f ca="1">Worksheet!E10</f>
        <v>229085.76170759567</v>
      </c>
      <c r="F11" s="50">
        <f ca="1">Worksheet!F10</f>
        <v>258404.25030321415</v>
      </c>
      <c r="G11" s="222">
        <f ca="1">Worksheet!G10</f>
        <v>236655.99294381126</v>
      </c>
      <c r="H11" s="55"/>
    </row>
    <row r="12" spans="1:8" x14ac:dyDescent="0.25">
      <c r="A12" s="3"/>
      <c r="B12" s="34" t="str">
        <f>Worksheet!B11</f>
        <v>% Revenue</v>
      </c>
      <c r="C12" s="35">
        <f ca="1">Worksheet!C11</f>
        <v>0.4</v>
      </c>
      <c r="D12" s="36">
        <f ca="1">Worksheet!D11</f>
        <v>0.39680052956751977</v>
      </c>
      <c r="E12" s="36">
        <f ca="1">Worksheet!E11</f>
        <v>0.38912939115039952</v>
      </c>
      <c r="F12" s="35">
        <f ca="1">Worksheet!F11</f>
        <v>0.41336157129518475</v>
      </c>
      <c r="G12" s="35">
        <f ca="1">Worksheet!G11</f>
        <v>0.40008968661984318</v>
      </c>
      <c r="H12" s="55"/>
    </row>
    <row r="13" spans="1:8" ht="13" x14ac:dyDescent="0.3">
      <c r="A13" s="3"/>
      <c r="B13" s="149" t="str">
        <f>Worksheet!B12</f>
        <v>Labor Owner</v>
      </c>
      <c r="C13" s="50">
        <f>Worksheet!C12</f>
        <v>50000</v>
      </c>
      <c r="D13" s="49">
        <f ca="1">Worksheet!D12</f>
        <v>49696.601941747576</v>
      </c>
      <c r="E13" s="49">
        <f ca="1">Worksheet!E12</f>
        <v>51254.044117647063</v>
      </c>
      <c r="F13" s="50">
        <f ca="1">Worksheet!F12</f>
        <v>54160.182686476648</v>
      </c>
      <c r="G13" s="222">
        <f ca="1">Worksheet!G12</f>
        <v>51703.609581957098</v>
      </c>
      <c r="H13" s="55"/>
    </row>
    <row r="14" spans="1:8" x14ac:dyDescent="0.25">
      <c r="A14" s="3"/>
      <c r="B14" s="34" t="str">
        <f>Worksheet!B13</f>
        <v>% Revenue</v>
      </c>
      <c r="C14" s="35">
        <f ca="1">Worksheet!C13</f>
        <v>0.1</v>
      </c>
      <c r="D14" s="36">
        <f ca="1">Worksheet!D13</f>
        <v>8.8636363636363638E-2</v>
      </c>
      <c r="E14" s="36">
        <f ca="1">Worksheet!E13</f>
        <v>8.7061085040076633E-2</v>
      </c>
      <c r="F14" s="35">
        <f ca="1">Worksheet!F13</f>
        <v>8.6638428704815224E-2</v>
      </c>
      <c r="G14" s="35">
        <f ca="1">Worksheet!G13</f>
        <v>8.7409918073240556E-2</v>
      </c>
      <c r="H14" s="55"/>
    </row>
    <row r="15" spans="1:8" ht="13" x14ac:dyDescent="0.3">
      <c r="A15" s="3"/>
      <c r="B15" s="149" t="str">
        <f>Worksheet!B14</f>
        <v>Distribution</v>
      </c>
      <c r="C15" s="50">
        <f>Worksheet!C14</f>
        <v>20000</v>
      </c>
      <c r="D15" s="49">
        <f ca="1">Worksheet!D14</f>
        <v>21773.965500989725</v>
      </c>
      <c r="E15" s="49">
        <f ca="1">Worksheet!E14</f>
        <v>21773.965500989729</v>
      </c>
      <c r="F15" s="50">
        <f ca="1">Worksheet!F14</f>
        <v>23120.808727855074</v>
      </c>
      <c r="G15" s="222">
        <f ca="1">Worksheet!G14</f>
        <v>22222.913243278173</v>
      </c>
      <c r="H15" s="55"/>
    </row>
    <row r="16" spans="1:8" x14ac:dyDescent="0.25">
      <c r="A16" s="3"/>
      <c r="B16" s="34" t="str">
        <f>Worksheet!B15</f>
        <v>% Revenue</v>
      </c>
      <c r="C16" s="35">
        <f ca="1">Worksheet!C15</f>
        <v>0.04</v>
      </c>
      <c r="D16" s="36">
        <f ca="1">Worksheet!D15</f>
        <v>3.8834951456310676E-2</v>
      </c>
      <c r="E16" s="36">
        <f ca="1">Worksheet!E15</f>
        <v>3.6985668053629218E-2</v>
      </c>
      <c r="F16" s="35">
        <f ca="1">Worksheet!F15</f>
        <v>3.6985668053629218E-2</v>
      </c>
      <c r="G16" s="35">
        <f ca="1">Worksheet!G15</f>
        <v>3.7569969324183293E-2</v>
      </c>
      <c r="H16" s="55"/>
    </row>
    <row r="17" spans="1:8" ht="13" x14ac:dyDescent="0.3">
      <c r="A17" s="3"/>
      <c r="B17" s="149" t="str">
        <f>Worksheet!B16</f>
        <v>Marketing</v>
      </c>
      <c r="C17" s="50">
        <f>Worksheet!C16</f>
        <v>10000</v>
      </c>
      <c r="D17" s="49">
        <f ca="1">Worksheet!D16</f>
        <v>10886.982750494863</v>
      </c>
      <c r="E17" s="49">
        <f ca="1">Worksheet!E16</f>
        <v>10886.982750494864</v>
      </c>
      <c r="F17" s="50">
        <f ca="1">Worksheet!F16</f>
        <v>11560.404363927537</v>
      </c>
      <c r="G17" s="222">
        <f ca="1">Worksheet!G16</f>
        <v>11111.456621639087</v>
      </c>
      <c r="H17" s="55"/>
    </row>
    <row r="18" spans="1:8" x14ac:dyDescent="0.25">
      <c r="A18" s="3"/>
      <c r="B18" s="34" t="str">
        <f>Worksheet!B17</f>
        <v>% Revenue</v>
      </c>
      <c r="C18" s="35">
        <f ca="1">Worksheet!C17</f>
        <v>0.02</v>
      </c>
      <c r="D18" s="36">
        <f ca="1">Worksheet!D17</f>
        <v>1.9417475728155338E-2</v>
      </c>
      <c r="E18" s="36">
        <f ca="1">Worksheet!E17</f>
        <v>1.8492834026814609E-2</v>
      </c>
      <c r="F18" s="35">
        <f ca="1">Worksheet!F17</f>
        <v>1.8492834026814609E-2</v>
      </c>
      <c r="G18" s="35">
        <f ca="1">Worksheet!G17</f>
        <v>1.8784984662091646E-2</v>
      </c>
      <c r="H18" s="55"/>
    </row>
    <row r="19" spans="1:8" ht="13" x14ac:dyDescent="0.3">
      <c r="A19" s="3"/>
      <c r="B19" s="149" t="str">
        <f>Worksheet!B18</f>
        <v>Other</v>
      </c>
      <c r="C19" s="50">
        <f>Worksheet!C18</f>
        <v>20000</v>
      </c>
      <c r="D19" s="50">
        <f ca="1">Worksheet!D18</f>
        <v>21773.965500989725</v>
      </c>
      <c r="E19" s="50">
        <f ca="1">Worksheet!E18</f>
        <v>21773.965500989729</v>
      </c>
      <c r="F19" s="50">
        <f ca="1">Worksheet!F18</f>
        <v>23120.808727855074</v>
      </c>
      <c r="G19" s="222">
        <f ca="1">Worksheet!G18</f>
        <v>22222.913243278173</v>
      </c>
      <c r="H19" s="55"/>
    </row>
    <row r="20" spans="1:8" x14ac:dyDescent="0.25">
      <c r="A20" s="3"/>
      <c r="B20" s="34" t="str">
        <f>Worksheet!B19</f>
        <v>% Revenue</v>
      </c>
      <c r="C20" s="35">
        <f ca="1">Worksheet!C19</f>
        <v>0.04</v>
      </c>
      <c r="D20" s="36">
        <f ca="1">Worksheet!D19</f>
        <v>3.8834951456310676E-2</v>
      </c>
      <c r="E20" s="36">
        <f ca="1">Worksheet!E19</f>
        <v>3.6985668053629218E-2</v>
      </c>
      <c r="F20" s="35">
        <f ca="1">Worksheet!F19</f>
        <v>3.6985668053629218E-2</v>
      </c>
      <c r="G20" s="35">
        <f ca="1">Worksheet!G19</f>
        <v>3.7569969324183293E-2</v>
      </c>
      <c r="H20" s="55"/>
    </row>
    <row r="21" spans="1:8" ht="13" x14ac:dyDescent="0.3">
      <c r="A21" s="3"/>
      <c r="B21" s="149" t="str">
        <f>Worksheet!B20</f>
        <v>Total Variable Costs</v>
      </c>
      <c r="C21" s="51">
        <f>Worksheet!C20</f>
        <v>310000</v>
      </c>
      <c r="D21" s="51">
        <f ca="1">Worksheet!D20</f>
        <v>338040.81440286536</v>
      </c>
      <c r="E21" s="51">
        <f ca="1">Worksheet!E20</f>
        <v>346777.61806013767</v>
      </c>
      <c r="F21" s="51">
        <f ca="1">Worksheet!F20</f>
        <v>383111.80062055867</v>
      </c>
      <c r="G21" s="51">
        <f ca="1">Worksheet!G20</f>
        <v>355976.74436118727</v>
      </c>
      <c r="H21" s="56"/>
    </row>
    <row r="22" spans="1:8" ht="13" x14ac:dyDescent="0.25">
      <c r="A22" s="3"/>
      <c r="B22" s="302" t="s">
        <v>147</v>
      </c>
      <c r="C22" s="38">
        <f ca="1">Worksheet!C21</f>
        <v>0.62</v>
      </c>
      <c r="D22" s="38">
        <f ca="1">Worksheet!D21</f>
        <v>0.60291262135922308</v>
      </c>
      <c r="E22" s="38">
        <f ca="1">Worksheet!E21</f>
        <v>0.58904299583911235</v>
      </c>
      <c r="F22" s="38">
        <f ca="1">Worksheet!F21</f>
        <v>0.6128525196486363</v>
      </c>
      <c r="G22" s="38">
        <f ca="1">Worksheet!G21</f>
        <v>0.60181287751810519</v>
      </c>
      <c r="H22" s="54"/>
    </row>
    <row r="23" spans="1:8" ht="13" x14ac:dyDescent="0.25">
      <c r="A23" s="3"/>
      <c r="B23" s="304" t="s">
        <v>18</v>
      </c>
      <c r="C23" s="37">
        <f ca="1">Worksheet!C22</f>
        <v>190000</v>
      </c>
      <c r="D23" s="37">
        <f ca="1">Worksheet!D22</f>
        <v>222638.79724762007</v>
      </c>
      <c r="E23" s="37">
        <f ca="1">Worksheet!E22</f>
        <v>241935.97417287208</v>
      </c>
      <c r="F23" s="37">
        <f ca="1">Worksheet!F22</f>
        <v>242017.06535882293</v>
      </c>
      <c r="G23" s="37">
        <f ca="1">Worksheet!G22</f>
        <v>235530.61225977162</v>
      </c>
      <c r="H23" s="54"/>
    </row>
    <row r="24" spans="1:8" ht="13" x14ac:dyDescent="0.25">
      <c r="A24" s="3"/>
      <c r="B24" s="302" t="s">
        <v>19</v>
      </c>
      <c r="C24" s="38">
        <f ca="1">Worksheet!C23</f>
        <v>0.38</v>
      </c>
      <c r="D24" s="38">
        <f ca="1">Worksheet!D23</f>
        <v>0.39708737864077692</v>
      </c>
      <c r="E24" s="38">
        <f ca="1">Worksheet!E23</f>
        <v>0.4109570041608876</v>
      </c>
      <c r="F24" s="38">
        <f ca="1">Worksheet!F23</f>
        <v>0.38714748035136376</v>
      </c>
      <c r="G24" s="38">
        <f ca="1">Worksheet!G23</f>
        <v>0.39818712248189486</v>
      </c>
      <c r="H24" s="54"/>
    </row>
    <row r="25" spans="1:8" ht="13" x14ac:dyDescent="0.25">
      <c r="A25" s="3"/>
      <c r="B25" s="302" t="s">
        <v>20</v>
      </c>
      <c r="C25" s="38">
        <f ca="1">Worksheet!C24</f>
        <v>0.61290322580645151</v>
      </c>
      <c r="D25" s="39">
        <f ca="1">Worksheet!D24</f>
        <v>0.65861513687600715</v>
      </c>
      <c r="E25" s="39">
        <f ca="1">Worksheet!E24</f>
        <v>0.69766894278314084</v>
      </c>
      <c r="F25" s="38">
        <f ca="1">Worksheet!F24</f>
        <v>0.63171394085697008</v>
      </c>
      <c r="G25" s="38">
        <f ca="1">Worksheet!G24</f>
        <v>0.66164606534182324</v>
      </c>
      <c r="H25" s="54"/>
    </row>
    <row r="26" spans="1:8" ht="13" x14ac:dyDescent="0.3">
      <c r="A26" s="3"/>
      <c r="B26" s="148" t="str">
        <f>Worksheet!B25</f>
        <v>Fixed Costs</v>
      </c>
      <c r="C26" s="29"/>
      <c r="D26" s="40"/>
      <c r="E26" s="40"/>
      <c r="F26" s="29"/>
      <c r="G26" s="29"/>
      <c r="H26" s="54"/>
    </row>
    <row r="27" spans="1:8" ht="13" x14ac:dyDescent="0.3">
      <c r="A27" s="3"/>
      <c r="B27" s="149" t="str">
        <f>Worksheet!B26</f>
        <v>Location</v>
      </c>
      <c r="C27" s="50">
        <f>Worksheet!C26</f>
        <v>40000</v>
      </c>
      <c r="D27" s="49">
        <f ca="1">Worksheet!D26</f>
        <v>41213.592233009709</v>
      </c>
      <c r="E27" s="49">
        <f ca="1">Worksheet!E26</f>
        <v>41774.271844660194</v>
      </c>
      <c r="F27" s="50">
        <f ca="1">Worksheet!F26</f>
        <v>42502.577319587632</v>
      </c>
      <c r="G27" s="222">
        <f ca="1">Worksheet!G26</f>
        <v>41830.147132419173</v>
      </c>
      <c r="H27" s="54"/>
    </row>
    <row r="28" spans="1:8" x14ac:dyDescent="0.25">
      <c r="A28" s="3"/>
      <c r="B28" s="34" t="str">
        <f>Worksheet!B27</f>
        <v>% Revenue</v>
      </c>
      <c r="C28" s="35">
        <f ca="1">Worksheet!C27</f>
        <v>0.08</v>
      </c>
      <c r="D28" s="36">
        <f ca="1">Worksheet!D27</f>
        <v>7.3506493506493506E-2</v>
      </c>
      <c r="E28" s="36">
        <f ca="1">Worksheet!E27</f>
        <v>7.0958565244279528E-2</v>
      </c>
      <c r="F28" s="35">
        <f ca="1">Worksheet!F27</f>
        <v>6.7990105132962261E-2</v>
      </c>
      <c r="G28" s="35">
        <f ca="1">Worksheet!G27</f>
        <v>7.0717881467067131E-2</v>
      </c>
      <c r="H28" s="54"/>
    </row>
    <row r="29" spans="1:8" ht="13" x14ac:dyDescent="0.3">
      <c r="A29" s="3"/>
      <c r="B29" s="149" t="str">
        <f>Worksheet!B28</f>
        <v>Administration</v>
      </c>
      <c r="C29" s="50">
        <f>Worksheet!C28</f>
        <v>30000</v>
      </c>
      <c r="D29" s="49">
        <f ca="1">Worksheet!D28</f>
        <v>30910.194174757282</v>
      </c>
      <c r="E29" s="49">
        <f ca="1">Worksheet!E28</f>
        <v>30716.376356367789</v>
      </c>
      <c r="F29" s="50">
        <f ca="1">Worksheet!F28</f>
        <v>29763.709607554363</v>
      </c>
      <c r="G29" s="222">
        <f ca="1">Worksheet!G28</f>
        <v>30463.426712893142</v>
      </c>
      <c r="H29" s="54"/>
    </row>
    <row r="30" spans="1:8" x14ac:dyDescent="0.25">
      <c r="A30" s="3"/>
      <c r="B30" s="34" t="str">
        <f>Worksheet!B29</f>
        <v>% Revenue</v>
      </c>
      <c r="C30" s="35">
        <f ca="1">Worksheet!C29</f>
        <v>0.06</v>
      </c>
      <c r="D30" s="36">
        <f ca="1">Worksheet!D29</f>
        <v>5.5129870129870133E-2</v>
      </c>
      <c r="E30" s="36">
        <f ca="1">Worksheet!E29</f>
        <v>5.2175415620793766E-2</v>
      </c>
      <c r="F30" s="35">
        <f ca="1">Worksheet!F29</f>
        <v>4.7612118440449762E-2</v>
      </c>
      <c r="G30" s="35">
        <f ca="1">Worksheet!G29</f>
        <v>5.150134883684003E-2</v>
      </c>
      <c r="H30" s="54"/>
    </row>
    <row r="31" spans="1:8" ht="13" x14ac:dyDescent="0.3">
      <c r="A31" s="3"/>
      <c r="B31" s="149" t="str">
        <f>Worksheet!B30</f>
        <v>Labor excluding Owner</v>
      </c>
      <c r="C31" s="50">
        <f>Worksheet!C30</f>
        <v>50000</v>
      </c>
      <c r="D31" s="49">
        <f ca="1">Worksheet!D30</f>
        <v>51516.990291262133</v>
      </c>
      <c r="E31" s="49">
        <f ca="1">Worksheet!E30</f>
        <v>52729.779411764714</v>
      </c>
      <c r="F31" s="50">
        <f ca="1">Worksheet!F30</f>
        <v>53649.086567616738</v>
      </c>
      <c r="G31" s="222">
        <f ca="1">Worksheet!G30</f>
        <v>52631.95209021453</v>
      </c>
      <c r="H31" s="54"/>
    </row>
    <row r="32" spans="1:8" x14ac:dyDescent="0.25">
      <c r="A32" s="3"/>
      <c r="B32" s="34" t="str">
        <f>Worksheet!B31</f>
        <v>% Revenue</v>
      </c>
      <c r="C32" s="35">
        <f ca="1">Worksheet!C31</f>
        <v>0.1</v>
      </c>
      <c r="D32" s="36">
        <f ca="1">Worksheet!D31</f>
        <v>9.1883116883116872E-2</v>
      </c>
      <c r="E32" s="36">
        <f ca="1">Worksheet!E31</f>
        <v>8.9567796815695988E-2</v>
      </c>
      <c r="F32" s="35">
        <f ca="1">Worksheet!F31</f>
        <v>8.5820843488910697E-2</v>
      </c>
      <c r="G32" s="35">
        <f ca="1">Worksheet!G31</f>
        <v>8.8979370249728559E-2</v>
      </c>
      <c r="H32" s="54"/>
    </row>
    <row r="33" spans="1:8" ht="13" x14ac:dyDescent="0.3">
      <c r="A33" s="3"/>
      <c r="B33" s="149" t="str">
        <f>Worksheet!B32</f>
        <v>Labor Owner</v>
      </c>
      <c r="C33" s="50">
        <f>Worksheet!C32</f>
        <v>10000</v>
      </c>
      <c r="D33" s="49">
        <f ca="1">Worksheet!D32</f>
        <v>10303.398058252427</v>
      </c>
      <c r="E33" s="49">
        <f ca="1">Worksheet!E32</f>
        <v>10545.955882352941</v>
      </c>
      <c r="F33" s="50">
        <f ca="1">Worksheet!F32</f>
        <v>10729.81731352335</v>
      </c>
      <c r="G33" s="222">
        <f ca="1">Worksheet!G32</f>
        <v>10526.390418042907</v>
      </c>
      <c r="H33" s="54"/>
    </row>
    <row r="34" spans="1:8" x14ac:dyDescent="0.25">
      <c r="A34" s="3"/>
      <c r="B34" s="34" t="str">
        <f>Worksheet!B33</f>
        <v>% Revenue</v>
      </c>
      <c r="C34" s="35">
        <f ca="1">Worksheet!C33</f>
        <v>0.02</v>
      </c>
      <c r="D34" s="36">
        <f ca="1">Worksheet!D33</f>
        <v>1.8376623376623376E-2</v>
      </c>
      <c r="E34" s="36">
        <f ca="1">Worksheet!E33</f>
        <v>1.7913559363139191E-2</v>
      </c>
      <c r="F34" s="35">
        <f ca="1">Worksheet!F33</f>
        <v>1.7164168697782142E-2</v>
      </c>
      <c r="G34" s="35">
        <f ca="1">Worksheet!G33</f>
        <v>1.7795874049945714E-2</v>
      </c>
      <c r="H34" s="54"/>
    </row>
    <row r="35" spans="1:8" ht="13" x14ac:dyDescent="0.3">
      <c r="A35" s="3"/>
      <c r="B35" s="149" t="str">
        <f>Worksheet!B34</f>
        <v>Interest Costs</v>
      </c>
      <c r="C35" s="50">
        <f>Worksheet!C34</f>
        <v>0</v>
      </c>
      <c r="D35" s="49">
        <f>Worksheet!D34</f>
        <v>0</v>
      </c>
      <c r="E35" s="49">
        <f>Worksheet!E34</f>
        <v>0</v>
      </c>
      <c r="F35" s="49">
        <f>Worksheet!F34</f>
        <v>0</v>
      </c>
      <c r="G35" s="222">
        <f>Worksheet!G34</f>
        <v>0</v>
      </c>
      <c r="H35" s="54"/>
    </row>
    <row r="36" spans="1:8" x14ac:dyDescent="0.25">
      <c r="A36" s="3"/>
      <c r="B36" s="34" t="str">
        <f>Worksheet!B35</f>
        <v>% Revenue</v>
      </c>
      <c r="C36" s="35">
        <f ca="1">Worksheet!C35</f>
        <v>0</v>
      </c>
      <c r="D36" s="35">
        <f ca="1">Worksheet!D35</f>
        <v>0</v>
      </c>
      <c r="E36" s="35">
        <f ca="1">Worksheet!E35</f>
        <v>0</v>
      </c>
      <c r="F36" s="35">
        <f ca="1">Worksheet!F35</f>
        <v>0</v>
      </c>
      <c r="G36" s="35">
        <f ca="1">Worksheet!G35</f>
        <v>0</v>
      </c>
      <c r="H36" s="54"/>
    </row>
    <row r="37" spans="1:8" ht="13" x14ac:dyDescent="0.3">
      <c r="A37" s="3"/>
      <c r="B37" s="149" t="str">
        <f>Worksheet!B36</f>
        <v>Other</v>
      </c>
      <c r="C37" s="50">
        <f>Worksheet!C36</f>
        <v>0</v>
      </c>
      <c r="D37" s="49">
        <f ca="1">Worksheet!D36</f>
        <v>0</v>
      </c>
      <c r="E37" s="49">
        <f ca="1">Worksheet!E36</f>
        <v>0</v>
      </c>
      <c r="F37" s="50">
        <f ca="1">Worksheet!F36</f>
        <v>0</v>
      </c>
      <c r="G37" s="222">
        <f ca="1">Worksheet!G36</f>
        <v>0</v>
      </c>
      <c r="H37" s="54"/>
    </row>
    <row r="38" spans="1:8" x14ac:dyDescent="0.25">
      <c r="A38" s="3"/>
      <c r="B38" s="34" t="str">
        <f>Worksheet!B37</f>
        <v>% Revenue</v>
      </c>
      <c r="C38" s="35">
        <f ca="1">Worksheet!C37</f>
        <v>0</v>
      </c>
      <c r="D38" s="36">
        <f ca="1">Worksheet!D37</f>
        <v>0</v>
      </c>
      <c r="E38" s="36">
        <f ca="1">Worksheet!E37</f>
        <v>0</v>
      </c>
      <c r="F38" s="35">
        <f ca="1">Worksheet!F37</f>
        <v>0</v>
      </c>
      <c r="G38" s="35">
        <f ca="1">Worksheet!G37</f>
        <v>0</v>
      </c>
      <c r="H38" s="54"/>
    </row>
    <row r="39" spans="1:8" ht="13" x14ac:dyDescent="0.3">
      <c r="A39" s="3"/>
      <c r="B39" s="149" t="str">
        <f>Worksheet!B38</f>
        <v>Total Fixed Costs</v>
      </c>
      <c r="C39" s="51">
        <f>Worksheet!C38</f>
        <v>130000</v>
      </c>
      <c r="D39" s="51">
        <f ca="1">Worksheet!D38</f>
        <v>133944.17475728155</v>
      </c>
      <c r="E39" s="51">
        <f ca="1">Worksheet!E38</f>
        <v>135766.38349514565</v>
      </c>
      <c r="F39" s="51">
        <f ca="1">Worksheet!F38</f>
        <v>136645.19080828209</v>
      </c>
      <c r="G39" s="51">
        <f ca="1">Worksheet!G38</f>
        <v>135451.91635356974</v>
      </c>
      <c r="H39" s="54"/>
    </row>
    <row r="40" spans="1:8" ht="13" x14ac:dyDescent="0.25">
      <c r="A40" s="3"/>
      <c r="B40" s="302" t="s">
        <v>148</v>
      </c>
      <c r="C40" s="38">
        <f ca="1">Worksheet!C39</f>
        <v>0.26</v>
      </c>
      <c r="D40" s="38">
        <f ca="1">Worksheet!D39</f>
        <v>0.23889610389610388</v>
      </c>
      <c r="E40" s="38">
        <f ca="1">Worksheet!E39</f>
        <v>0.23061533704390849</v>
      </c>
      <c r="F40" s="38">
        <f ca="1">Worksheet!F39</f>
        <v>0.21858723576010486</v>
      </c>
      <c r="G40" s="38">
        <f ca="1">Worksheet!G39</f>
        <v>0.22899447460358141</v>
      </c>
      <c r="H40" s="54"/>
    </row>
    <row r="41" spans="1:8" ht="13" x14ac:dyDescent="0.25">
      <c r="A41" s="3"/>
      <c r="B41" s="31"/>
      <c r="C41" s="35"/>
      <c r="D41" s="39"/>
      <c r="E41" s="39"/>
      <c r="F41" s="38"/>
      <c r="G41" s="60"/>
      <c r="H41" s="54"/>
    </row>
    <row r="42" spans="1:8" ht="13" x14ac:dyDescent="0.25">
      <c r="A42" s="3"/>
      <c r="B42" s="303" t="s">
        <v>21</v>
      </c>
      <c r="C42" s="51">
        <f>Worksheet!C41</f>
        <v>440000</v>
      </c>
      <c r="D42" s="52">
        <f ca="1">Worksheet!D41</f>
        <v>471984.98916014691</v>
      </c>
      <c r="E42" s="52">
        <f ca="1">Worksheet!E41</f>
        <v>482544.00155528332</v>
      </c>
      <c r="F42" s="51">
        <f ca="1">Worksheet!F41</f>
        <v>519756.99142884079</v>
      </c>
      <c r="G42" s="51">
        <f ca="1">Worksheet!G41</f>
        <v>491428.66071475699</v>
      </c>
      <c r="H42" s="54"/>
    </row>
    <row r="43" spans="1:8" ht="13" x14ac:dyDescent="0.3">
      <c r="A43" s="3"/>
      <c r="B43" s="41"/>
      <c r="C43" s="33"/>
      <c r="D43" s="32"/>
      <c r="E43" s="32"/>
      <c r="F43" s="33"/>
      <c r="G43" s="60"/>
      <c r="H43" s="54"/>
    </row>
    <row r="44" spans="1:8" ht="13" x14ac:dyDescent="0.25">
      <c r="A44" s="3"/>
      <c r="B44" s="151" t="str">
        <f>Worksheet!B43</f>
        <v>Operating Surplus</v>
      </c>
      <c r="C44" s="51">
        <f ca="1">Worksheet!C43</f>
        <v>60000</v>
      </c>
      <c r="D44" s="52">
        <f ca="1">Worksheet!D43</f>
        <v>88694.622490338515</v>
      </c>
      <c r="E44" s="52">
        <f ca="1">Worksheet!E43</f>
        <v>106169.59067772643</v>
      </c>
      <c r="F44" s="51">
        <f ca="1">Worksheet!F43</f>
        <v>105371.87455054082</v>
      </c>
      <c r="G44" s="51">
        <f ca="1">Worksheet!G43</f>
        <v>100078.69590620192</v>
      </c>
      <c r="H44" s="54"/>
    </row>
    <row r="45" spans="1:8" ht="13" x14ac:dyDescent="0.25">
      <c r="A45" s="3"/>
      <c r="B45" s="302" t="s">
        <v>49</v>
      </c>
      <c r="C45" s="38">
        <f ca="1">Worksheet!C44</f>
        <v>0.12</v>
      </c>
      <c r="D45" s="38">
        <f ca="1">Worksheet!D44</f>
        <v>0.15819127474467304</v>
      </c>
      <c r="E45" s="38">
        <f ca="1">Worksheet!E44</f>
        <v>0.18034166711697913</v>
      </c>
      <c r="F45" s="38">
        <f ca="1">Worksheet!F44</f>
        <v>0.16856024459125882</v>
      </c>
      <c r="G45" s="38">
        <f ca="1">Worksheet!G44</f>
        <v>0.16919264787831351</v>
      </c>
      <c r="H45" s="54"/>
    </row>
    <row r="46" spans="1:8" ht="13" x14ac:dyDescent="0.25">
      <c r="A46" s="3"/>
      <c r="B46" s="42"/>
      <c r="C46" s="38"/>
      <c r="D46" s="38"/>
      <c r="E46" s="38"/>
      <c r="F46" s="38"/>
      <c r="G46" s="60"/>
      <c r="H46" s="57"/>
    </row>
    <row r="47" spans="1:8" ht="13" x14ac:dyDescent="0.3">
      <c r="A47" s="3"/>
      <c r="B47" s="152" t="str">
        <f>Worksheet!B46</f>
        <v>Owner Cash Flow</v>
      </c>
      <c r="C47" s="52">
        <f ca="1">Worksheet!C46</f>
        <v>120000</v>
      </c>
      <c r="D47" s="51">
        <f ca="1">Worksheet!D46</f>
        <v>148694.62249033854</v>
      </c>
      <c r="E47" s="51">
        <f ca="1">Worksheet!E46</f>
        <v>167969.59067772643</v>
      </c>
      <c r="F47" s="51">
        <f ca="1">Worksheet!F46</f>
        <v>170261.87455054082</v>
      </c>
      <c r="G47" s="51">
        <f ca="1">Worksheet!G46</f>
        <v>162308.69590620193</v>
      </c>
      <c r="H47" s="58"/>
    </row>
    <row r="48" spans="1:8" ht="13" x14ac:dyDescent="0.25">
      <c r="A48" s="3"/>
      <c r="B48" s="301" t="s">
        <v>22</v>
      </c>
      <c r="C48" s="39">
        <f ca="1">Worksheet!C47</f>
        <v>0.24</v>
      </c>
      <c r="D48" s="39">
        <f ca="1">Worksheet!D47</f>
        <v>0.2652042617576601</v>
      </c>
      <c r="E48" s="38">
        <f ca="1">Worksheet!E47</f>
        <v>0.28531631152019493</v>
      </c>
      <c r="F48" s="38">
        <f ca="1">Worksheet!F47</f>
        <v>0.27236284199385619</v>
      </c>
      <c r="G48" s="39">
        <f ca="1">Worksheet!G47</f>
        <v>0.27439844000149982</v>
      </c>
      <c r="H48" s="23"/>
    </row>
    <row r="49" spans="1:8" ht="13" x14ac:dyDescent="0.25">
      <c r="A49" s="3"/>
      <c r="B49" s="206" t="str">
        <f>Worksheet!B94</f>
        <v>LESS</v>
      </c>
      <c r="C49" s="201"/>
      <c r="D49" s="207"/>
      <c r="E49" s="201"/>
      <c r="F49" s="201"/>
      <c r="G49" s="204"/>
      <c r="H49" s="158"/>
    </row>
    <row r="50" spans="1:8" ht="13" x14ac:dyDescent="0.25">
      <c r="A50" s="3"/>
      <c r="B50" s="299" t="s">
        <v>193</v>
      </c>
      <c r="C50" s="50">
        <f>Worksheet!C95</f>
        <v>12500</v>
      </c>
      <c r="D50" s="50">
        <f ca="1">Worksheet!D95</f>
        <v>12879.247572815533</v>
      </c>
      <c r="E50" s="50">
        <f ca="1">Worksheet!E95</f>
        <v>13054.459951456311</v>
      </c>
      <c r="F50" s="50">
        <f ca="1">Worksheet!F95</f>
        <v>13282.055412371135</v>
      </c>
      <c r="G50" s="222">
        <f ca="1">Worksheet!G95</f>
        <v>13071.920978880991</v>
      </c>
      <c r="H50" s="158"/>
    </row>
    <row r="51" spans="1:8" ht="13" x14ac:dyDescent="0.25">
      <c r="A51" s="3"/>
      <c r="B51" s="299" t="s">
        <v>31</v>
      </c>
      <c r="C51" s="50">
        <f>Worksheet!C96</f>
        <v>60000</v>
      </c>
      <c r="D51" s="223">
        <f>Worksheet!D96</f>
        <v>60000</v>
      </c>
      <c r="E51" s="50">
        <f>Worksheet!E96</f>
        <v>61800</v>
      </c>
      <c r="F51" s="50">
        <f>Worksheet!F96</f>
        <v>64890</v>
      </c>
      <c r="G51" s="222">
        <f>Worksheet!G96</f>
        <v>62230</v>
      </c>
      <c r="H51" s="158"/>
    </row>
    <row r="52" spans="1:8" ht="13" x14ac:dyDescent="0.25">
      <c r="A52" s="3"/>
      <c r="B52" s="300" t="s">
        <v>38</v>
      </c>
      <c r="C52" s="51">
        <f ca="1">Worksheet!C97</f>
        <v>47500</v>
      </c>
      <c r="D52" s="51">
        <f ca="1">Worksheet!D97</f>
        <v>75815.374917523004</v>
      </c>
      <c r="E52" s="51">
        <f ca="1">Worksheet!E97</f>
        <v>93115.130726270116</v>
      </c>
      <c r="F52" s="51">
        <f ca="1">Worksheet!F97</f>
        <v>92089.819138169667</v>
      </c>
      <c r="G52" s="51">
        <f ca="1">Worksheet!G97</f>
        <v>87006.774927320934</v>
      </c>
      <c r="H52" s="158"/>
    </row>
    <row r="53" spans="1:8" ht="13" x14ac:dyDescent="0.25">
      <c r="A53" s="3"/>
      <c r="B53" s="300" t="s">
        <v>192</v>
      </c>
      <c r="C53" s="209">
        <f ca="1">Worksheet!C98</f>
        <v>9.5000000000000001E-2</v>
      </c>
      <c r="D53" s="210">
        <f ca="1">Worksheet!D98</f>
        <v>0.13522049552389384</v>
      </c>
      <c r="E53" s="210">
        <f ca="1">Worksheet!E98</f>
        <v>0.15816711547814177</v>
      </c>
      <c r="F53" s="210">
        <f ca="1">Worksheet!F98</f>
        <v>0.14731333673720809</v>
      </c>
      <c r="G53" s="209">
        <f ca="1">Worksheet!G98</f>
        <v>0.14709330991985506</v>
      </c>
      <c r="H53" s="159"/>
    </row>
    <row r="54" spans="1:8" ht="13" x14ac:dyDescent="0.25">
      <c r="A54" s="3"/>
      <c r="B54" s="220" t="str">
        <f>+Worksheet!B80</f>
        <v>Total Investment</v>
      </c>
      <c r="C54" s="222">
        <f ca="1">+Worksheet!D80</f>
        <v>248590.78550663125</v>
      </c>
      <c r="D54" s="210"/>
      <c r="E54" s="210"/>
      <c r="F54" s="210"/>
      <c r="G54" s="209"/>
      <c r="H54" s="159"/>
    </row>
    <row r="55" spans="1:8" ht="13" x14ac:dyDescent="0.25">
      <c r="A55" s="3"/>
      <c r="B55" s="300" t="s">
        <v>191</v>
      </c>
      <c r="C55" s="308">
        <f ca="1">Worksheet!C99</f>
        <v>0.19107707432998525</v>
      </c>
      <c r="D55" s="308">
        <f ca="1">Worksheet!D99</f>
        <v>0.30498063217834193</v>
      </c>
      <c r="E55" s="308">
        <f ca="1">Worksheet!E99</f>
        <v>0.3745719316848381</v>
      </c>
      <c r="F55" s="308">
        <f ca="1">Worksheet!F99</f>
        <v>0.37044743613681985</v>
      </c>
      <c r="G55" s="308">
        <f ca="1">Worksheet!G99</f>
        <v>0.35</v>
      </c>
      <c r="H55" s="159"/>
    </row>
    <row r="56" spans="1:8" ht="13" x14ac:dyDescent="0.25">
      <c r="A56" s="3"/>
      <c r="B56" s="420" t="str">
        <f>copy</f>
        <v>© bizpep.com</v>
      </c>
      <c r="C56" s="421" t="e">
        <f>+#REF!</f>
        <v>#REF!</v>
      </c>
      <c r="D56" s="421" t="e">
        <f>+#REF!</f>
        <v>#REF!</v>
      </c>
      <c r="E56" s="421" t="e">
        <f>+#REF!</f>
        <v>#REF!</v>
      </c>
      <c r="F56" s="421" t="e">
        <f>+#REF!</f>
        <v>#REF!</v>
      </c>
      <c r="G56" s="422" t="e">
        <f>+#REF!</f>
        <v>#REF!</v>
      </c>
      <c r="H56" s="159"/>
    </row>
    <row r="57" spans="1:8" ht="18" x14ac:dyDescent="0.25">
      <c r="A57" s="3"/>
      <c r="B57" s="401"/>
      <c r="C57" s="401"/>
      <c r="D57" s="401"/>
      <c r="E57" s="401"/>
      <c r="F57" s="401"/>
      <c r="G57" s="401"/>
      <c r="H57" s="159"/>
    </row>
    <row r="58" spans="1:8" ht="18" x14ac:dyDescent="0.25">
      <c r="A58" s="3"/>
      <c r="B58" s="402"/>
      <c r="C58" s="402"/>
      <c r="D58" s="402"/>
      <c r="E58" s="402"/>
      <c r="F58" s="402"/>
      <c r="G58" s="402"/>
      <c r="H58" s="159"/>
    </row>
    <row r="59" spans="1:8" ht="18" x14ac:dyDescent="0.25">
      <c r="A59" s="3"/>
      <c r="B59" s="403"/>
      <c r="C59" s="403"/>
      <c r="D59" s="403"/>
      <c r="E59" s="403"/>
      <c r="F59" s="403"/>
      <c r="G59" s="403"/>
      <c r="H59" s="159"/>
    </row>
    <row r="60" spans="1:8" ht="18" x14ac:dyDescent="0.25">
      <c r="A60" s="2"/>
      <c r="B60" s="402"/>
      <c r="C60" s="402"/>
      <c r="D60" s="402"/>
      <c r="E60" s="402"/>
      <c r="F60" s="402"/>
      <c r="G60" s="402"/>
      <c r="H60" s="2"/>
    </row>
    <row r="61" spans="1:8" ht="18" x14ac:dyDescent="0.25">
      <c r="A61" s="2"/>
      <c r="B61" s="384"/>
      <c r="C61" s="384"/>
      <c r="D61" s="384"/>
      <c r="E61" s="384"/>
      <c r="F61" s="384"/>
      <c r="G61" s="384"/>
      <c r="H61" s="2"/>
    </row>
    <row r="62" spans="1:8" ht="18" x14ac:dyDescent="0.25">
      <c r="A62" s="2"/>
      <c r="B62" s="404"/>
      <c r="C62" s="404"/>
      <c r="D62" s="404"/>
      <c r="E62" s="404"/>
      <c r="F62" s="404"/>
      <c r="G62" s="404"/>
      <c r="H62" s="2"/>
    </row>
    <row r="63" spans="1:8" ht="18" x14ac:dyDescent="0.25">
      <c r="A63" s="2"/>
      <c r="B63" s="384"/>
      <c r="C63" s="384"/>
      <c r="D63" s="384"/>
      <c r="E63" s="384"/>
      <c r="F63" s="384"/>
      <c r="G63" s="384"/>
      <c r="H63" s="2"/>
    </row>
    <row r="64" spans="1:8" x14ac:dyDescent="0.25">
      <c r="A64" s="2"/>
      <c r="B64" s="400"/>
      <c r="C64" s="400"/>
      <c r="D64" s="400"/>
      <c r="E64" s="400"/>
      <c r="F64" s="400"/>
      <c r="G64" s="400"/>
      <c r="H64" s="2"/>
    </row>
    <row r="65" spans="1:8" x14ac:dyDescent="0.25">
      <c r="A65" s="2"/>
      <c r="B65" s="2"/>
      <c r="C65" s="2"/>
      <c r="D65" s="2"/>
      <c r="E65" s="2"/>
      <c r="F65" s="2"/>
      <c r="G65" s="2"/>
      <c r="H65" s="2"/>
    </row>
  </sheetData>
  <sheetProtection algorithmName="SHA-512" hashValue="6hM0ymc02xJdKznFS6PDzMJ03U2jRVp1Fcc1eLX/eyOP02hbXSthrTa3Y2PN+DU7I7VmBbWQbETKv0KF/pyVwg==" saltValue="4KG78ItMEaGZPr+qrPLn4w==" spinCount="100000" sheet="1" formatColumns="0" formatRows="0"/>
  <mergeCells count="10">
    <mergeCell ref="B2:G2"/>
    <mergeCell ref="B56:G56"/>
    <mergeCell ref="B57:G57"/>
    <mergeCell ref="B58:G58"/>
    <mergeCell ref="B64:G64"/>
    <mergeCell ref="B59:G59"/>
    <mergeCell ref="B60:G60"/>
    <mergeCell ref="B61:G61"/>
    <mergeCell ref="B62:G62"/>
    <mergeCell ref="B63:G63"/>
  </mergeCells>
  <phoneticPr fontId="0" type="noConversion"/>
  <printOptions horizontalCentered="1" verticalCentered="1"/>
  <pageMargins left="0.74803149606299213" right="0.74803149606299213" top="0.98425196850393704" bottom="0.98425196850393704" header="0.51181102362204722" footer="0.51181102362204722"/>
  <pageSetup scale="82" orientation="portrait" horizontalDpi="360"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autoPageBreaks="0"/>
  </sheetPr>
  <dimension ref="A1:H65"/>
  <sheetViews>
    <sheetView showGridLines="0" zoomScaleNormal="100" workbookViewId="0"/>
  </sheetViews>
  <sheetFormatPr defaultRowHeight="12.5" x14ac:dyDescent="0.25"/>
  <cols>
    <col min="1" max="1" width="2.26953125" customWidth="1"/>
    <col min="2" max="2" width="39.1796875" customWidth="1"/>
    <col min="3" max="7" width="12.7265625" customWidth="1"/>
    <col min="8" max="8" width="4.26953125" customWidth="1"/>
  </cols>
  <sheetData>
    <row r="1" spans="1:8" ht="3.75" customHeight="1" x14ac:dyDescent="0.25">
      <c r="A1" s="2"/>
      <c r="B1" s="2"/>
      <c r="C1" s="2"/>
      <c r="D1" s="2"/>
      <c r="E1" s="2"/>
      <c r="F1" s="2"/>
      <c r="G1" s="2"/>
      <c r="H1" s="2"/>
    </row>
    <row r="2" spans="1:8" ht="13" x14ac:dyDescent="0.25">
      <c r="A2" s="3"/>
      <c r="B2" s="460" t="str">
        <f xml:space="preserve"> "Optimistic Results - " &amp; title</f>
        <v>Optimistic Results - Business Valuation</v>
      </c>
      <c r="C2" s="461"/>
      <c r="D2" s="461"/>
      <c r="E2" s="461"/>
      <c r="F2" s="461"/>
      <c r="G2" s="462"/>
      <c r="H2" s="3"/>
    </row>
    <row r="3" spans="1:8" ht="13" x14ac:dyDescent="0.3">
      <c r="A3" s="3"/>
      <c r="B3" s="224" t="str">
        <f>Worksheet!J2</f>
        <v>Optimistic Forecast improved by</v>
      </c>
      <c r="C3" s="215">
        <f>Worksheet!K2</f>
        <v>0.2</v>
      </c>
      <c r="D3" s="21"/>
      <c r="E3" s="21"/>
      <c r="F3" s="22"/>
      <c r="G3" s="225"/>
      <c r="H3" s="24"/>
    </row>
    <row r="4" spans="1:8" ht="13" x14ac:dyDescent="0.3">
      <c r="A4" s="3"/>
      <c r="B4" s="148" t="str">
        <f>Worksheet!J3</f>
        <v>Example Business</v>
      </c>
      <c r="C4" s="21"/>
      <c r="D4" s="21"/>
      <c r="E4" s="21"/>
      <c r="F4" s="22"/>
      <c r="G4" s="225"/>
      <c r="H4" s="24"/>
    </row>
    <row r="5" spans="1:8" ht="26" x14ac:dyDescent="0.25">
      <c r="A5" s="3"/>
      <c r="B5" s="153"/>
      <c r="C5" s="44" t="str">
        <f>Worksheet!K4</f>
        <v>Current Year</v>
      </c>
      <c r="D5" s="154" t="str">
        <f>Worksheet!L4</f>
        <v>Year 1</v>
      </c>
      <c r="E5" s="154" t="str">
        <f>Worksheet!M4</f>
        <v>Year 2</v>
      </c>
      <c r="F5" s="154" t="str">
        <f>Worksheet!N4</f>
        <v>Year 3</v>
      </c>
      <c r="G5" s="44" t="str">
        <f>Worksheet!O4</f>
        <v>3 Year Average</v>
      </c>
      <c r="H5" s="3"/>
    </row>
    <row r="6" spans="1:8" ht="13" x14ac:dyDescent="0.3">
      <c r="A6" s="3"/>
      <c r="B6" s="148" t="str">
        <f>Worksheet!J5</f>
        <v>Business Revenue</v>
      </c>
      <c r="C6" s="222">
        <f ca="1">Worksheet!K5</f>
        <v>500000</v>
      </c>
      <c r="D6" s="46">
        <f ca="1">Worksheet!L5</f>
        <v>579687.5</v>
      </c>
      <c r="E6" s="47">
        <f ca="1">Worksheet!M5</f>
        <v>614468.75</v>
      </c>
      <c r="F6" s="48">
        <f ca="1">Worksheet!N5</f>
        <v>660362.68153526972</v>
      </c>
      <c r="G6" s="222">
        <f ca="1">Worksheet!O5</f>
        <v>618172.9771784232</v>
      </c>
      <c r="H6" s="54"/>
    </row>
    <row r="7" spans="1:8" ht="13" x14ac:dyDescent="0.3">
      <c r="A7" s="3"/>
      <c r="B7" s="148" t="str">
        <f>Worksheet!J6</f>
        <v>Expenses</v>
      </c>
      <c r="C7" s="25"/>
      <c r="D7" s="26"/>
      <c r="E7" s="27"/>
      <c r="F7" s="28"/>
      <c r="G7" s="60"/>
      <c r="H7" s="54"/>
    </row>
    <row r="8" spans="1:8" ht="13" x14ac:dyDescent="0.3">
      <c r="A8" s="3"/>
      <c r="B8" s="148" t="str">
        <f>Worksheet!J7</f>
        <v>Variable Costs</v>
      </c>
      <c r="C8" s="29"/>
      <c r="D8" s="30"/>
      <c r="E8" s="30"/>
      <c r="F8" s="29"/>
      <c r="G8" s="60"/>
      <c r="H8" s="54"/>
    </row>
    <row r="9" spans="1:8" ht="13" x14ac:dyDescent="0.3">
      <c r="A9" s="3"/>
      <c r="B9" s="149" t="str">
        <f>Worksheet!J8</f>
        <v>Materials &amp; Supplies</v>
      </c>
      <c r="C9" s="50">
        <f>Worksheet!K8</f>
        <v>10000</v>
      </c>
      <c r="D9" s="49">
        <f ca="1">Worksheet!L8</f>
        <v>11750.422297297297</v>
      </c>
      <c r="E9" s="49">
        <f ca="1">Worksheet!M8</f>
        <v>12337.943412162162</v>
      </c>
      <c r="F9" s="50">
        <f ca="1">Worksheet!N8</f>
        <v>13259.449559128632</v>
      </c>
      <c r="G9" s="222">
        <f ca="1">Worksheet!O8</f>
        <v>12449.271756196031</v>
      </c>
      <c r="H9" s="55"/>
    </row>
    <row r="10" spans="1:8" x14ac:dyDescent="0.25">
      <c r="A10" s="3"/>
      <c r="B10" s="34" t="str">
        <f>Worksheet!J9</f>
        <v>% Revenue</v>
      </c>
      <c r="C10" s="35">
        <f ca="1">Worksheet!K9</f>
        <v>0.02</v>
      </c>
      <c r="D10" s="36">
        <f ca="1">Worksheet!L9</f>
        <v>2.0270270270270268E-2</v>
      </c>
      <c r="E10" s="36">
        <f ca="1">Worksheet!M9</f>
        <v>2.0079041305456399E-2</v>
      </c>
      <c r="F10" s="35">
        <f ca="1">Worksheet!N9</f>
        <v>2.0079041305456402E-2</v>
      </c>
      <c r="G10" s="35">
        <f ca="1">Worksheet!O9</f>
        <v>2.013881585866022E-2</v>
      </c>
      <c r="H10" s="55"/>
    </row>
    <row r="11" spans="1:8" ht="13" x14ac:dyDescent="0.3">
      <c r="A11" s="3"/>
      <c r="B11" s="149" t="str">
        <f>Worksheet!J10</f>
        <v>Labor excluding Owner</v>
      </c>
      <c r="C11" s="50">
        <f>Worksheet!K10</f>
        <v>200000</v>
      </c>
      <c r="D11" s="49">
        <f ca="1">Worksheet!L10</f>
        <v>230170.39695945947</v>
      </c>
      <c r="E11" s="49">
        <f ca="1">Worksheet!M10</f>
        <v>235320.77756314661</v>
      </c>
      <c r="F11" s="50">
        <f ca="1">Worksheet!N10</f>
        <v>265969.27342111943</v>
      </c>
      <c r="G11" s="222">
        <f ca="1">Worksheet!O10</f>
        <v>243820.14931457516</v>
      </c>
      <c r="H11" s="55"/>
    </row>
    <row r="12" spans="1:8" x14ac:dyDescent="0.25">
      <c r="A12" s="3"/>
      <c r="B12" s="34" t="str">
        <f>Worksheet!J11</f>
        <v>% Revenue</v>
      </c>
      <c r="C12" s="35">
        <f ca="1">Worksheet!K11</f>
        <v>0.4</v>
      </c>
      <c r="D12" s="36">
        <f ca="1">Worksheet!L11</f>
        <v>0.39705944488963357</v>
      </c>
      <c r="E12" s="36">
        <f ca="1">Worksheet!M11</f>
        <v>0.38296622499215233</v>
      </c>
      <c r="F12" s="35">
        <f ca="1">Worksheet!N11</f>
        <v>0.40276242261717526</v>
      </c>
      <c r="G12" s="35">
        <f ca="1">Worksheet!O11</f>
        <v>0.39442058827524806</v>
      </c>
      <c r="H12" s="55"/>
    </row>
    <row r="13" spans="1:8" ht="13" x14ac:dyDescent="0.3">
      <c r="A13" s="3"/>
      <c r="B13" s="149" t="str">
        <f>Worksheet!J12</f>
        <v>Labor Owner</v>
      </c>
      <c r="C13" s="50">
        <f>Worksheet!K12</f>
        <v>50000</v>
      </c>
      <c r="D13" s="49">
        <f ca="1">Worksheet!L12</f>
        <v>49601.5625</v>
      </c>
      <c r="E13" s="49">
        <f ca="1">Worksheet!M12</f>
        <v>51165.708923339844</v>
      </c>
      <c r="F13" s="50">
        <f ca="1">Worksheet!N12</f>
        <v>54229.896703361861</v>
      </c>
      <c r="G13" s="222">
        <f ca="1">Worksheet!O12</f>
        <v>51665.722708900568</v>
      </c>
      <c r="H13" s="55"/>
    </row>
    <row r="14" spans="1:8" x14ac:dyDescent="0.25">
      <c r="A14" s="3"/>
      <c r="B14" s="34" t="str">
        <f>Worksheet!J13</f>
        <v>% Revenue</v>
      </c>
      <c r="C14" s="35">
        <f ca="1">Worksheet!K13</f>
        <v>0.1</v>
      </c>
      <c r="D14" s="36">
        <f ca="1">Worksheet!L13</f>
        <v>8.556603773584906E-2</v>
      </c>
      <c r="E14" s="36">
        <f ca="1">Worksheet!M13</f>
        <v>8.3268203506427052E-2</v>
      </c>
      <c r="F14" s="35">
        <f ca="1">Worksheet!N13</f>
        <v>8.2121383021347277E-2</v>
      </c>
      <c r="G14" s="35">
        <f ca="1">Worksheet!O13</f>
        <v>8.3578099684529394E-2</v>
      </c>
      <c r="H14" s="55"/>
    </row>
    <row r="15" spans="1:8" ht="13" x14ac:dyDescent="0.3">
      <c r="A15" s="3"/>
      <c r="B15" s="149" t="str">
        <f>Worksheet!J14</f>
        <v>Distribution</v>
      </c>
      <c r="C15" s="50">
        <f>Worksheet!K14</f>
        <v>20000</v>
      </c>
      <c r="D15" s="49">
        <f ca="1">Worksheet!L14</f>
        <v>22381.756756756757</v>
      </c>
      <c r="E15" s="49">
        <f ca="1">Worksheet!M14</f>
        <v>22381.756756756753</v>
      </c>
      <c r="F15" s="50">
        <f ca="1">Worksheet!N14</f>
        <v>24053.423236514522</v>
      </c>
      <c r="G15" s="222">
        <f ca="1">Worksheet!O14</f>
        <v>22938.978916676006</v>
      </c>
      <c r="H15" s="55"/>
    </row>
    <row r="16" spans="1:8" x14ac:dyDescent="0.25">
      <c r="A16" s="3"/>
      <c r="B16" s="34" t="str">
        <f>Worksheet!J15</f>
        <v>% Revenue</v>
      </c>
      <c r="C16" s="35">
        <f ca="1">Worksheet!K15</f>
        <v>0.04</v>
      </c>
      <c r="D16" s="36">
        <f ca="1">Worksheet!L15</f>
        <v>3.8610038610038609E-2</v>
      </c>
      <c r="E16" s="36">
        <f ca="1">Worksheet!M15</f>
        <v>3.642456472645151E-2</v>
      </c>
      <c r="F16" s="35">
        <f ca="1">Worksheet!N15</f>
        <v>3.6424564726451517E-2</v>
      </c>
      <c r="G16" s="35">
        <f ca="1">Worksheet!O15</f>
        <v>3.7107702477352275E-2</v>
      </c>
      <c r="H16" s="55"/>
    </row>
    <row r="17" spans="1:8" ht="13" x14ac:dyDescent="0.3">
      <c r="A17" s="3"/>
      <c r="B17" s="149" t="str">
        <f>Worksheet!J16</f>
        <v>Marketing</v>
      </c>
      <c r="C17" s="50">
        <f>Worksheet!K16</f>
        <v>10000</v>
      </c>
      <c r="D17" s="49">
        <f ca="1">Worksheet!L16</f>
        <v>11190.878378378378</v>
      </c>
      <c r="E17" s="49">
        <f ca="1">Worksheet!M16</f>
        <v>11190.878378378377</v>
      </c>
      <c r="F17" s="50">
        <f ca="1">Worksheet!N16</f>
        <v>12026.711618257261</v>
      </c>
      <c r="G17" s="222">
        <f ca="1">Worksheet!O16</f>
        <v>11469.489458338003</v>
      </c>
      <c r="H17" s="55"/>
    </row>
    <row r="18" spans="1:8" x14ac:dyDescent="0.25">
      <c r="A18" s="3"/>
      <c r="B18" s="34" t="str">
        <f>Worksheet!J17</f>
        <v>% Revenue</v>
      </c>
      <c r="C18" s="35">
        <f ca="1">Worksheet!K17</f>
        <v>0.02</v>
      </c>
      <c r="D18" s="36">
        <f ca="1">Worksheet!L17</f>
        <v>1.9305019305019305E-2</v>
      </c>
      <c r="E18" s="36">
        <f ca="1">Worksheet!M17</f>
        <v>1.8212282363225755E-2</v>
      </c>
      <c r="F18" s="35">
        <f ca="1">Worksheet!N17</f>
        <v>1.8212282363225758E-2</v>
      </c>
      <c r="G18" s="35">
        <f ca="1">Worksheet!O17</f>
        <v>1.8553851238676138E-2</v>
      </c>
      <c r="H18" s="55"/>
    </row>
    <row r="19" spans="1:8" ht="13" x14ac:dyDescent="0.3">
      <c r="A19" s="3"/>
      <c r="B19" s="149" t="str">
        <f>Worksheet!J18</f>
        <v>Other</v>
      </c>
      <c r="C19" s="50">
        <f>Worksheet!K18</f>
        <v>20000</v>
      </c>
      <c r="D19" s="50">
        <f ca="1">Worksheet!L18</f>
        <v>22381.756756756757</v>
      </c>
      <c r="E19" s="50">
        <f ca="1">Worksheet!M18</f>
        <v>22381.756756756753</v>
      </c>
      <c r="F19" s="50">
        <f ca="1">Worksheet!N18</f>
        <v>24053.423236514522</v>
      </c>
      <c r="G19" s="222">
        <f ca="1">Worksheet!O18</f>
        <v>22938.978916676006</v>
      </c>
      <c r="H19" s="55"/>
    </row>
    <row r="20" spans="1:8" x14ac:dyDescent="0.25">
      <c r="A20" s="3"/>
      <c r="B20" s="34" t="str">
        <f>Worksheet!J19</f>
        <v>% Revenue</v>
      </c>
      <c r="C20" s="35">
        <f ca="1">Worksheet!K19</f>
        <v>0.04</v>
      </c>
      <c r="D20" s="36">
        <f ca="1">Worksheet!L19</f>
        <v>3.8610038610038609E-2</v>
      </c>
      <c r="E20" s="36">
        <f ca="1">Worksheet!M19</f>
        <v>3.642456472645151E-2</v>
      </c>
      <c r="F20" s="35">
        <f ca="1">Worksheet!N19</f>
        <v>3.6424564726451517E-2</v>
      </c>
      <c r="G20" s="35">
        <f ca="1">Worksheet!O19</f>
        <v>3.7107702477352275E-2</v>
      </c>
      <c r="H20" s="55"/>
    </row>
    <row r="21" spans="1:8" ht="13" x14ac:dyDescent="0.3">
      <c r="A21" s="3"/>
      <c r="B21" s="149" t="str">
        <f>Worksheet!J20</f>
        <v>Total Variable Costs</v>
      </c>
      <c r="C21" s="51">
        <f>Worksheet!K20</f>
        <v>310000</v>
      </c>
      <c r="D21" s="51">
        <f ca="1">Worksheet!L20</f>
        <v>347476.7736486487</v>
      </c>
      <c r="E21" s="51">
        <f ca="1">Worksheet!M20</f>
        <v>354778.82179054053</v>
      </c>
      <c r="F21" s="51">
        <f ca="1">Worksheet!N20</f>
        <v>393592.1777748962</v>
      </c>
      <c r="G21" s="51">
        <f ca="1">Worksheet!O20</f>
        <v>365282.59107136185</v>
      </c>
      <c r="H21" s="56"/>
    </row>
    <row r="22" spans="1:8" ht="13" x14ac:dyDescent="0.25">
      <c r="A22" s="3"/>
      <c r="B22" s="34" t="str">
        <f>Worksheet!J21</f>
        <v>Total Variable Costs %</v>
      </c>
      <c r="C22" s="38">
        <f ca="1">Worksheet!K21</f>
        <v>0.62</v>
      </c>
      <c r="D22" s="38">
        <f ca="1">Worksheet!L21</f>
        <v>0.5994208494208495</v>
      </c>
      <c r="E22" s="38">
        <f ca="1">Worksheet!M21</f>
        <v>0.57737488162016459</v>
      </c>
      <c r="F22" s="38">
        <f ca="1">Worksheet!N21</f>
        <v>0.59602425876010767</v>
      </c>
      <c r="G22" s="38">
        <f ca="1">Worksheet!O21</f>
        <v>0.59090676001181841</v>
      </c>
      <c r="H22" s="54"/>
    </row>
    <row r="23" spans="1:8" ht="13" x14ac:dyDescent="0.25">
      <c r="A23" s="3"/>
      <c r="B23" s="31" t="str">
        <f>Worksheet!J22</f>
        <v>Gross Profit</v>
      </c>
      <c r="C23" s="37">
        <f ca="1">Worksheet!K22</f>
        <v>190000</v>
      </c>
      <c r="D23" s="37">
        <f ca="1">Worksheet!L22</f>
        <v>232210.7263513513</v>
      </c>
      <c r="E23" s="37">
        <f ca="1">Worksheet!M22</f>
        <v>259689.92820945947</v>
      </c>
      <c r="F23" s="37">
        <f ca="1">Worksheet!N22</f>
        <v>266770.50376037351</v>
      </c>
      <c r="G23" s="37">
        <f ca="1">Worksheet!O22</f>
        <v>252890.38610706135</v>
      </c>
      <c r="H23" s="54"/>
    </row>
    <row r="24" spans="1:8" ht="13" x14ac:dyDescent="0.25">
      <c r="A24" s="3"/>
      <c r="B24" s="34" t="str">
        <f>Worksheet!J23</f>
        <v>Gross Profit %</v>
      </c>
      <c r="C24" s="38">
        <f ca="1">Worksheet!K23</f>
        <v>0.38</v>
      </c>
      <c r="D24" s="38">
        <f ca="1">Worksheet!L23</f>
        <v>0.4005791505791505</v>
      </c>
      <c r="E24" s="38">
        <f ca="1">Worksheet!M23</f>
        <v>0.42262511837983535</v>
      </c>
      <c r="F24" s="38">
        <f ca="1">Worksheet!N23</f>
        <v>0.40397574123989227</v>
      </c>
      <c r="G24" s="38">
        <f ca="1">Worksheet!O23</f>
        <v>0.40909323998818153</v>
      </c>
      <c r="H24" s="54"/>
    </row>
    <row r="25" spans="1:8" ht="13" x14ac:dyDescent="0.25">
      <c r="A25" s="3"/>
      <c r="B25" s="34" t="str">
        <f>Worksheet!J24</f>
        <v>Mark-up Equivalent</v>
      </c>
      <c r="C25" s="38">
        <f ca="1">Worksheet!K24</f>
        <v>0.61290322580645151</v>
      </c>
      <c r="D25" s="39">
        <f ca="1">Worksheet!L24</f>
        <v>0.66827697262479857</v>
      </c>
      <c r="E25" s="39">
        <f ca="1">Worksheet!M24</f>
        <v>0.73197697342480872</v>
      </c>
      <c r="F25" s="38">
        <f ca="1">Worksheet!N24</f>
        <v>0.67778405879027726</v>
      </c>
      <c r="G25" s="38">
        <f ca="1">Worksheet!O24</f>
        <v>0.69231436780313604</v>
      </c>
      <c r="H25" s="54"/>
    </row>
    <row r="26" spans="1:8" ht="13" x14ac:dyDescent="0.3">
      <c r="A26" s="3"/>
      <c r="B26" s="148" t="str">
        <f>Worksheet!J25</f>
        <v>Fixed Costs</v>
      </c>
      <c r="C26" s="29"/>
      <c r="D26" s="40"/>
      <c r="E26" s="40"/>
      <c r="F26" s="29"/>
      <c r="G26" s="29"/>
      <c r="H26" s="54"/>
    </row>
    <row r="27" spans="1:8" ht="13" x14ac:dyDescent="0.3">
      <c r="A27" s="3"/>
      <c r="B27" s="149" t="str">
        <f>Worksheet!J26</f>
        <v>Location</v>
      </c>
      <c r="C27" s="50">
        <f>Worksheet!K26</f>
        <v>40000</v>
      </c>
      <c r="D27" s="49">
        <f ca="1">Worksheet!L26</f>
        <v>41593.75</v>
      </c>
      <c r="E27" s="49">
        <f ca="1">Worksheet!M26</f>
        <v>42289.375</v>
      </c>
      <c r="F27" s="50">
        <f ca="1">Worksheet!N26</f>
        <v>43207.253630705396</v>
      </c>
      <c r="G27" s="222">
        <f ca="1">Worksheet!O26</f>
        <v>42363.459543568468</v>
      </c>
      <c r="H27" s="54"/>
    </row>
    <row r="28" spans="1:8" x14ac:dyDescent="0.25">
      <c r="A28" s="3"/>
      <c r="B28" s="34" t="str">
        <f>Worksheet!J27</f>
        <v>% Revenue</v>
      </c>
      <c r="C28" s="35">
        <f ca="1">Worksheet!K27</f>
        <v>0.08</v>
      </c>
      <c r="D28" s="36">
        <f ca="1">Worksheet!L27</f>
        <v>7.1752021563342316E-2</v>
      </c>
      <c r="E28" s="36">
        <f ca="1">Worksheet!M27</f>
        <v>6.8822661852209741E-2</v>
      </c>
      <c r="F28" s="35">
        <f ca="1">Worksheet!N27</f>
        <v>6.5429581105724124E-2</v>
      </c>
      <c r="G28" s="35">
        <f ca="1">Worksheet!O27</f>
        <v>6.8530105823990273E-2</v>
      </c>
      <c r="H28" s="54"/>
    </row>
    <row r="29" spans="1:8" ht="13" x14ac:dyDescent="0.3">
      <c r="A29" s="3"/>
      <c r="B29" s="149" t="str">
        <f>Worksheet!J28</f>
        <v>Administration</v>
      </c>
      <c r="C29" s="50">
        <f>Worksheet!K28</f>
        <v>30000</v>
      </c>
      <c r="D29" s="49">
        <f ca="1">Worksheet!L28</f>
        <v>31195.3125</v>
      </c>
      <c r="E29" s="49">
        <f ca="1">Worksheet!M28</f>
        <v>30973.663330078125</v>
      </c>
      <c r="F29" s="50">
        <f ca="1">Worksheet!N28</f>
        <v>29854.658224341321</v>
      </c>
      <c r="G29" s="222">
        <f ca="1">Worksheet!O28</f>
        <v>30674.544684806478</v>
      </c>
      <c r="H29" s="54"/>
    </row>
    <row r="30" spans="1:8" x14ac:dyDescent="0.25">
      <c r="A30" s="3"/>
      <c r="B30" s="34" t="str">
        <f>Worksheet!J29</f>
        <v>% Revenue</v>
      </c>
      <c r="C30" s="35">
        <f ca="1">Worksheet!K29</f>
        <v>0.06</v>
      </c>
      <c r="D30" s="36">
        <f ca="1">Worksheet!L29</f>
        <v>5.3814016172506737E-2</v>
      </c>
      <c r="E30" s="36">
        <f ca="1">Worksheet!M29</f>
        <v>5.0407223036286426E-2</v>
      </c>
      <c r="F30" s="35">
        <f ca="1">Worksheet!N29</f>
        <v>4.520948723954625E-2</v>
      </c>
      <c r="G30" s="35">
        <f ca="1">Worksheet!O29</f>
        <v>4.9621296655212553E-2</v>
      </c>
      <c r="H30" s="54"/>
    </row>
    <row r="31" spans="1:8" ht="13" x14ac:dyDescent="0.3">
      <c r="A31" s="3"/>
      <c r="B31" s="149" t="str">
        <f>Worksheet!J30</f>
        <v>Labor excluding Owner</v>
      </c>
      <c r="C31" s="50">
        <f>Worksheet!K30</f>
        <v>50000</v>
      </c>
      <c r="D31" s="49">
        <f ca="1">Worksheet!L30</f>
        <v>51992.1875</v>
      </c>
      <c r="E31" s="49">
        <f ca="1">Worksheet!M30</f>
        <v>53171.455383300781</v>
      </c>
      <c r="F31" s="50">
        <f ca="1">Worksheet!N30</f>
        <v>53300.516483190717</v>
      </c>
      <c r="G31" s="222">
        <f ca="1">Worksheet!O30</f>
        <v>52821.386455497159</v>
      </c>
      <c r="H31" s="54"/>
    </row>
    <row r="32" spans="1:8" x14ac:dyDescent="0.25">
      <c r="A32" s="3"/>
      <c r="B32" s="34" t="str">
        <f>Worksheet!J31</f>
        <v>% Revenue</v>
      </c>
      <c r="C32" s="35">
        <f ca="1">Worksheet!K31</f>
        <v>0.1</v>
      </c>
      <c r="D32" s="36">
        <f ca="1">Worksheet!L31</f>
        <v>8.9690026954177896E-2</v>
      </c>
      <c r="E32" s="36">
        <f ca="1">Worksheet!M31</f>
        <v>8.6532399545625027E-2</v>
      </c>
      <c r="F32" s="35">
        <f ca="1">Worksheet!N31</f>
        <v>8.0714004551669924E-2</v>
      </c>
      <c r="G32" s="35">
        <f ca="1">Worksheet!O31</f>
        <v>8.5447582481838785E-2</v>
      </c>
      <c r="H32" s="54"/>
    </row>
    <row r="33" spans="1:8" ht="13" x14ac:dyDescent="0.3">
      <c r="A33" s="3"/>
      <c r="B33" s="149" t="str">
        <f>Worksheet!J32</f>
        <v>Labor Owner</v>
      </c>
      <c r="C33" s="50">
        <f>Worksheet!K32</f>
        <v>10000</v>
      </c>
      <c r="D33" s="49">
        <f ca="1">Worksheet!L32</f>
        <v>10398.4375</v>
      </c>
      <c r="E33" s="49">
        <f ca="1">Worksheet!M32</f>
        <v>10634.291076660156</v>
      </c>
      <c r="F33" s="50">
        <f ca="1">Worksheet!N32</f>
        <v>10660.103296638141</v>
      </c>
      <c r="G33" s="222">
        <f ca="1">Worksheet!O32</f>
        <v>10564.277291099432</v>
      </c>
      <c r="H33" s="54"/>
    </row>
    <row r="34" spans="1:8" x14ac:dyDescent="0.25">
      <c r="A34" s="3"/>
      <c r="B34" s="34" t="str">
        <f>Worksheet!J33</f>
        <v>% Revenue</v>
      </c>
      <c r="C34" s="35">
        <f ca="1">Worksheet!K33</f>
        <v>0.02</v>
      </c>
      <c r="D34" s="36">
        <f ca="1">Worksheet!L33</f>
        <v>1.7938005390835579E-2</v>
      </c>
      <c r="E34" s="36">
        <f ca="1">Worksheet!M33</f>
        <v>1.7306479909125008E-2</v>
      </c>
      <c r="F34" s="35">
        <f ca="1">Worksheet!N33</f>
        <v>1.6142800910333981E-2</v>
      </c>
      <c r="G34" s="35">
        <f ca="1">Worksheet!O33</f>
        <v>1.7089516496367755E-2</v>
      </c>
      <c r="H34" s="54"/>
    </row>
    <row r="35" spans="1:8" ht="13" x14ac:dyDescent="0.3">
      <c r="A35" s="3"/>
      <c r="B35" s="149" t="str">
        <f>Worksheet!J34</f>
        <v>Interest Costs</v>
      </c>
      <c r="C35" s="50">
        <f>Worksheet!K34</f>
        <v>0</v>
      </c>
      <c r="D35" s="49">
        <f>Worksheet!L34</f>
        <v>0</v>
      </c>
      <c r="E35" s="49">
        <f>Worksheet!M34</f>
        <v>0</v>
      </c>
      <c r="F35" s="49">
        <f>Worksheet!N34</f>
        <v>0</v>
      </c>
      <c r="G35" s="222">
        <f>Worksheet!O34</f>
        <v>0</v>
      </c>
      <c r="H35" s="54"/>
    </row>
    <row r="36" spans="1:8" x14ac:dyDescent="0.25">
      <c r="A36" s="3"/>
      <c r="B36" s="34" t="str">
        <f>Worksheet!J35</f>
        <v>% Revenue</v>
      </c>
      <c r="C36" s="35">
        <f ca="1">Worksheet!K35</f>
        <v>0</v>
      </c>
      <c r="D36" s="35">
        <f ca="1">Worksheet!L35</f>
        <v>0</v>
      </c>
      <c r="E36" s="35">
        <f ca="1">Worksheet!M35</f>
        <v>0</v>
      </c>
      <c r="F36" s="35">
        <f ca="1">Worksheet!N35</f>
        <v>0</v>
      </c>
      <c r="G36" s="35">
        <f ca="1">Worksheet!O35</f>
        <v>0</v>
      </c>
      <c r="H36" s="54"/>
    </row>
    <row r="37" spans="1:8" ht="13" x14ac:dyDescent="0.3">
      <c r="A37" s="3"/>
      <c r="B37" s="149" t="str">
        <f>Worksheet!J36</f>
        <v>Other</v>
      </c>
      <c r="C37" s="50">
        <f>Worksheet!K36</f>
        <v>0</v>
      </c>
      <c r="D37" s="49">
        <f ca="1">Worksheet!L36</f>
        <v>0</v>
      </c>
      <c r="E37" s="49">
        <f ca="1">Worksheet!M36</f>
        <v>0</v>
      </c>
      <c r="F37" s="50">
        <f ca="1">Worksheet!N36</f>
        <v>0</v>
      </c>
      <c r="G37" s="222">
        <f ca="1">Worksheet!O36</f>
        <v>0</v>
      </c>
      <c r="H37" s="54"/>
    </row>
    <row r="38" spans="1:8" x14ac:dyDescent="0.25">
      <c r="A38" s="3"/>
      <c r="B38" s="34" t="str">
        <f>Worksheet!J37</f>
        <v>% Revenue</v>
      </c>
      <c r="C38" s="35">
        <f ca="1">Worksheet!K37</f>
        <v>0</v>
      </c>
      <c r="D38" s="36">
        <f ca="1">Worksheet!L37</f>
        <v>0</v>
      </c>
      <c r="E38" s="36">
        <f ca="1">Worksheet!M37</f>
        <v>0</v>
      </c>
      <c r="F38" s="35">
        <f ca="1">Worksheet!N37</f>
        <v>0</v>
      </c>
      <c r="G38" s="35">
        <f ca="1">Worksheet!O37</f>
        <v>0</v>
      </c>
      <c r="H38" s="54"/>
    </row>
    <row r="39" spans="1:8" ht="13" x14ac:dyDescent="0.3">
      <c r="A39" s="3"/>
      <c r="B39" s="149" t="str">
        <f>Worksheet!J38</f>
        <v>Total Fixed Costs</v>
      </c>
      <c r="C39" s="51">
        <f>Worksheet!K38</f>
        <v>130000</v>
      </c>
      <c r="D39" s="51">
        <f ca="1">Worksheet!L38</f>
        <v>135179.6875</v>
      </c>
      <c r="E39" s="51">
        <f ca="1">Worksheet!M38</f>
        <v>137068.78479003906</v>
      </c>
      <c r="F39" s="51">
        <f ca="1">Worksheet!N38</f>
        <v>137022.53163487557</v>
      </c>
      <c r="G39" s="51">
        <f ca="1">Worksheet!O38</f>
        <v>136423.66797497155</v>
      </c>
      <c r="H39" s="54"/>
    </row>
    <row r="40" spans="1:8" ht="13" x14ac:dyDescent="0.25">
      <c r="A40" s="3"/>
      <c r="B40" s="34" t="str">
        <f>Worksheet!J39</f>
        <v>Total Fixed Costs %</v>
      </c>
      <c r="C40" s="38">
        <f ca="1">Worksheet!K39</f>
        <v>0.26</v>
      </c>
      <c r="D40" s="38">
        <f ca="1">Worksheet!L39</f>
        <v>0.23319407008086254</v>
      </c>
      <c r="E40" s="38">
        <f ca="1">Worksheet!M39</f>
        <v>0.22306876434324621</v>
      </c>
      <c r="F40" s="38">
        <f ca="1">Worksheet!N39</f>
        <v>0.20749587380727427</v>
      </c>
      <c r="G40" s="38">
        <f ca="1">Worksheet!O39</f>
        <v>0.2206885014574094</v>
      </c>
      <c r="H40" s="54"/>
    </row>
    <row r="41" spans="1:8" ht="13" x14ac:dyDescent="0.25">
      <c r="A41" s="3"/>
      <c r="B41" s="31"/>
      <c r="C41" s="35"/>
      <c r="D41" s="39"/>
      <c r="E41" s="39"/>
      <c r="F41" s="38"/>
      <c r="G41" s="60"/>
      <c r="H41" s="54"/>
    </row>
    <row r="42" spans="1:8" ht="13" x14ac:dyDescent="0.25">
      <c r="A42" s="3"/>
      <c r="B42" s="19" t="str">
        <f>Worksheet!J41</f>
        <v>Total Expenses</v>
      </c>
      <c r="C42" s="51">
        <f>Worksheet!K41</f>
        <v>440000</v>
      </c>
      <c r="D42" s="52">
        <f ca="1">Worksheet!L41</f>
        <v>482656.4611486487</v>
      </c>
      <c r="E42" s="52">
        <f ca="1">Worksheet!M41</f>
        <v>491847.6065805796</v>
      </c>
      <c r="F42" s="51">
        <f ca="1">Worksheet!N41</f>
        <v>530614.70940977172</v>
      </c>
      <c r="G42" s="51">
        <f ca="1">Worksheet!O41</f>
        <v>501706.25904633338</v>
      </c>
      <c r="H42" s="54"/>
    </row>
    <row r="43" spans="1:8" ht="13" x14ac:dyDescent="0.3">
      <c r="A43" s="3"/>
      <c r="B43" s="41"/>
      <c r="C43" s="33"/>
      <c r="D43" s="32"/>
      <c r="E43" s="32"/>
      <c r="F43" s="33"/>
      <c r="G43" s="60"/>
      <c r="H43" s="54"/>
    </row>
    <row r="44" spans="1:8" ht="13" x14ac:dyDescent="0.25">
      <c r="A44" s="3"/>
      <c r="B44" s="151" t="str">
        <f>Worksheet!J43</f>
        <v>Operating Surplus</v>
      </c>
      <c r="C44" s="51">
        <f ca="1">Worksheet!K43</f>
        <v>60000</v>
      </c>
      <c r="D44" s="52">
        <f ca="1">Worksheet!L43</f>
        <v>97031.038851351303</v>
      </c>
      <c r="E44" s="52">
        <f ca="1">Worksheet!M43</f>
        <v>122621.1434194204</v>
      </c>
      <c r="F44" s="51">
        <f ca="1">Worksheet!N43</f>
        <v>129747.972125498</v>
      </c>
      <c r="G44" s="51">
        <f ca="1">Worksheet!O43</f>
        <v>116466.7181320899</v>
      </c>
      <c r="H44" s="54"/>
    </row>
    <row r="45" spans="1:8" ht="13" x14ac:dyDescent="0.25">
      <c r="A45" s="3"/>
      <c r="B45" s="34" t="str">
        <f>Worksheet!J44</f>
        <v>Operating Surplus %</v>
      </c>
      <c r="C45" s="38">
        <f ca="1">Worksheet!K44</f>
        <v>0.12</v>
      </c>
      <c r="D45" s="38">
        <f ca="1">Worksheet!L44</f>
        <v>0.16738508049828796</v>
      </c>
      <c r="E45" s="38">
        <f ca="1">Worksheet!M44</f>
        <v>0.19955635403658917</v>
      </c>
      <c r="F45" s="38">
        <f ca="1">Worksheet!N44</f>
        <v>0.19647986743261808</v>
      </c>
      <c r="G45" s="38">
        <f ca="1">Worksheet!O44</f>
        <v>0.1884047385307723</v>
      </c>
      <c r="H45" s="54"/>
    </row>
    <row r="46" spans="1:8" ht="13" x14ac:dyDescent="0.25">
      <c r="A46" s="3"/>
      <c r="B46" s="42"/>
      <c r="C46" s="38"/>
      <c r="D46" s="38"/>
      <c r="E46" s="38"/>
      <c r="F46" s="38"/>
      <c r="G46" s="60"/>
      <c r="H46" s="57"/>
    </row>
    <row r="47" spans="1:8" ht="13" x14ac:dyDescent="0.3">
      <c r="A47" s="3"/>
      <c r="B47" s="152" t="str">
        <f>Worksheet!J46</f>
        <v>Owner Cash Flow</v>
      </c>
      <c r="C47" s="52">
        <f ca="1">Worksheet!K46</f>
        <v>120000</v>
      </c>
      <c r="D47" s="51">
        <f ca="1">Worksheet!L46</f>
        <v>157031.0388513513</v>
      </c>
      <c r="E47" s="51">
        <f ca="1">Worksheet!M46</f>
        <v>184421.1434194204</v>
      </c>
      <c r="F47" s="51">
        <f ca="1">Worksheet!N46</f>
        <v>194637.972125498</v>
      </c>
      <c r="G47" s="51">
        <f ca="1">Worksheet!O46</f>
        <v>178696.71813208991</v>
      </c>
      <c r="H47" s="58"/>
    </row>
    <row r="48" spans="1:8" ht="13" x14ac:dyDescent="0.25">
      <c r="A48" s="3"/>
      <c r="B48" s="221" t="str">
        <f>Worksheet!J47</f>
        <v>Owner Cash Flow %</v>
      </c>
      <c r="C48" s="39">
        <f ca="1">Worksheet!K47</f>
        <v>0.24</v>
      </c>
      <c r="D48" s="39">
        <f ca="1">Worksheet!L47</f>
        <v>0.27088912362497258</v>
      </c>
      <c r="E48" s="38">
        <f ca="1">Worksheet!M47</f>
        <v>0.3001310374521412</v>
      </c>
      <c r="F48" s="38">
        <f ca="1">Worksheet!N47</f>
        <v>0.29474405136429938</v>
      </c>
      <c r="G48" s="39">
        <f ca="1">Worksheet!O47</f>
        <v>0.28907235471166948</v>
      </c>
      <c r="H48" s="23"/>
    </row>
    <row r="49" spans="1:8" ht="13" x14ac:dyDescent="0.25">
      <c r="A49" s="3"/>
      <c r="B49" s="206" t="str">
        <f>Worksheet!J94</f>
        <v>LESS</v>
      </c>
      <c r="C49" s="201"/>
      <c r="D49" s="207"/>
      <c r="E49" s="201"/>
      <c r="F49" s="201"/>
      <c r="G49" s="204"/>
      <c r="H49" s="158"/>
    </row>
    <row r="50" spans="1:8" ht="13" x14ac:dyDescent="0.25">
      <c r="A50" s="3"/>
      <c r="B50" s="203" t="str">
        <f>Worksheet!J95</f>
        <v>Depreciation Allowance</v>
      </c>
      <c r="C50" s="50">
        <f>Worksheet!K95</f>
        <v>12500</v>
      </c>
      <c r="D50" s="50">
        <f ca="1">Worksheet!L95</f>
        <v>12998.046875</v>
      </c>
      <c r="E50" s="50">
        <f ca="1">Worksheet!M95</f>
        <v>13215.4296875</v>
      </c>
      <c r="F50" s="50">
        <f ca="1">Worksheet!N95</f>
        <v>13502.266759595435</v>
      </c>
      <c r="G50" s="222">
        <f ca="1">Worksheet!O95</f>
        <v>13238.581107365144</v>
      </c>
      <c r="H50" s="158"/>
    </row>
    <row r="51" spans="1:8" ht="13" x14ac:dyDescent="0.25">
      <c r="A51" s="3"/>
      <c r="B51" s="203" t="str">
        <f>Worksheet!J96</f>
        <v>Owners External Earning Power</v>
      </c>
      <c r="C51" s="50">
        <f>Worksheet!K96</f>
        <v>60000</v>
      </c>
      <c r="D51" s="223">
        <f>Worksheet!L96</f>
        <v>60000</v>
      </c>
      <c r="E51" s="50">
        <f>Worksheet!M96</f>
        <v>61440</v>
      </c>
      <c r="F51" s="50">
        <f>Worksheet!N96</f>
        <v>63897.600000000006</v>
      </c>
      <c r="G51" s="222">
        <f>Worksheet!O96</f>
        <v>61779.200000000004</v>
      </c>
      <c r="H51" s="158"/>
    </row>
    <row r="52" spans="1:8" ht="13" x14ac:dyDescent="0.25">
      <c r="A52" s="3"/>
      <c r="B52" s="176" t="str">
        <f>Worksheet!J97</f>
        <v>Business Return</v>
      </c>
      <c r="C52" s="51">
        <f ca="1">Worksheet!K97</f>
        <v>47500</v>
      </c>
      <c r="D52" s="51">
        <f ca="1">Worksheet!L97</f>
        <v>84032.991976351303</v>
      </c>
      <c r="E52" s="51">
        <f ca="1">Worksheet!M97</f>
        <v>109765.7137319204</v>
      </c>
      <c r="F52" s="51">
        <f ca="1">Worksheet!N97</f>
        <v>117238.10536590256</v>
      </c>
      <c r="G52" s="51">
        <f ca="1">Worksheet!O97</f>
        <v>103678.93702472474</v>
      </c>
      <c r="H52" s="158"/>
    </row>
    <row r="53" spans="1:8" ht="13" x14ac:dyDescent="0.25">
      <c r="A53" s="3"/>
      <c r="B53" s="176" t="str">
        <f>Worksheet!J98</f>
        <v>Return on Sales</v>
      </c>
      <c r="C53" s="209">
        <f ca="1">Worksheet!K98</f>
        <v>9.5000000000000001E-2</v>
      </c>
      <c r="D53" s="210">
        <f ca="1">Worksheet!L98</f>
        <v>0.14496257375974347</v>
      </c>
      <c r="E53" s="210">
        <f ca="1">Worksheet!M98</f>
        <v>0.17863514415000015</v>
      </c>
      <c r="F53" s="210">
        <f ca="1">Worksheet!N98</f>
        <v>0.17753593388005667</v>
      </c>
      <c r="G53" s="209">
        <f ca="1">Worksheet!O98</f>
        <v>0.1677183261842905</v>
      </c>
      <c r="H53" s="159"/>
    </row>
    <row r="54" spans="1:8" ht="13" x14ac:dyDescent="0.25">
      <c r="A54" s="3"/>
      <c r="B54" s="220" t="str">
        <f>Worksheet!$J$80</f>
        <v>Total Investment</v>
      </c>
      <c r="C54" s="222">
        <f ca="1">+Worksheet!L80</f>
        <v>248590.78550663125</v>
      </c>
      <c r="D54" s="210"/>
      <c r="E54" s="210"/>
      <c r="F54" s="210"/>
      <c r="G54" s="209"/>
      <c r="H54" s="159"/>
    </row>
    <row r="55" spans="1:8" ht="13" x14ac:dyDescent="0.25">
      <c r="A55" s="3"/>
      <c r="B55" s="176" t="str">
        <f>Worksheet!J99</f>
        <v>Return on Total Investment</v>
      </c>
      <c r="C55" s="308">
        <f ca="1">Worksheet!K99</f>
        <v>0.19107707432998525</v>
      </c>
      <c r="D55" s="308">
        <f ca="1">Worksheet!L99</f>
        <v>0.33803743692708066</v>
      </c>
      <c r="E55" s="308">
        <f ca="1">Worksheet!M99</f>
        <v>0.44155181982395869</v>
      </c>
      <c r="F55" s="308">
        <f ca="1">Worksheet!N99</f>
        <v>0.47161082470120436</v>
      </c>
      <c r="G55" s="308">
        <f ca="1">Worksheet!O99</f>
        <v>0.41706669381741451</v>
      </c>
      <c r="H55" s="159"/>
    </row>
    <row r="56" spans="1:8" ht="13" x14ac:dyDescent="0.25">
      <c r="A56" s="3"/>
      <c r="B56" s="460" t="str">
        <f>copy</f>
        <v>© bizpep.com</v>
      </c>
      <c r="C56" s="421" t="e">
        <f>+#REF!</f>
        <v>#REF!</v>
      </c>
      <c r="D56" s="421" t="e">
        <f>+#REF!</f>
        <v>#REF!</v>
      </c>
      <c r="E56" s="421" t="e">
        <f>+#REF!</f>
        <v>#REF!</v>
      </c>
      <c r="F56" s="421" t="e">
        <f>+#REF!</f>
        <v>#REF!</v>
      </c>
      <c r="G56" s="422" t="e">
        <f>+#REF!</f>
        <v>#REF!</v>
      </c>
      <c r="H56" s="159"/>
    </row>
    <row r="57" spans="1:8" ht="18" x14ac:dyDescent="0.25">
      <c r="A57" s="3"/>
      <c r="B57" s="401"/>
      <c r="C57" s="401"/>
      <c r="D57" s="401"/>
      <c r="E57" s="401"/>
      <c r="F57" s="401"/>
      <c r="G57" s="401"/>
      <c r="H57" s="159"/>
    </row>
    <row r="58" spans="1:8" ht="18" x14ac:dyDescent="0.25">
      <c r="A58" s="3"/>
      <c r="B58" s="402"/>
      <c r="C58" s="402"/>
      <c r="D58" s="402"/>
      <c r="E58" s="402"/>
      <c r="F58" s="402"/>
      <c r="G58" s="402"/>
      <c r="H58" s="159"/>
    </row>
    <row r="59" spans="1:8" ht="18" x14ac:dyDescent="0.25">
      <c r="A59" s="3"/>
      <c r="B59" s="403"/>
      <c r="C59" s="403"/>
      <c r="D59" s="403"/>
      <c r="E59" s="403"/>
      <c r="F59" s="403"/>
      <c r="G59" s="403"/>
      <c r="H59" s="159"/>
    </row>
    <row r="60" spans="1:8" ht="18" x14ac:dyDescent="0.25">
      <c r="A60" s="2"/>
      <c r="B60" s="402"/>
      <c r="C60" s="402"/>
      <c r="D60" s="402"/>
      <c r="E60" s="402"/>
      <c r="F60" s="402"/>
      <c r="G60" s="402"/>
      <c r="H60" s="2"/>
    </row>
    <row r="61" spans="1:8" ht="18" x14ac:dyDescent="0.25">
      <c r="A61" s="2"/>
      <c r="B61" s="384"/>
      <c r="C61" s="384"/>
      <c r="D61" s="384"/>
      <c r="E61" s="384"/>
      <c r="F61" s="384"/>
      <c r="G61" s="384"/>
      <c r="H61" s="2"/>
    </row>
    <row r="62" spans="1:8" ht="18" x14ac:dyDescent="0.25">
      <c r="A62" s="2"/>
      <c r="B62" s="404"/>
      <c r="C62" s="404"/>
      <c r="D62" s="404"/>
      <c r="E62" s="404"/>
      <c r="F62" s="404"/>
      <c r="G62" s="404"/>
      <c r="H62" s="2"/>
    </row>
    <row r="63" spans="1:8" ht="18" x14ac:dyDescent="0.25">
      <c r="A63" s="2"/>
      <c r="B63" s="384"/>
      <c r="C63" s="384"/>
      <c r="D63" s="384"/>
      <c r="E63" s="384"/>
      <c r="F63" s="384"/>
      <c r="G63" s="384"/>
      <c r="H63" s="2"/>
    </row>
    <row r="64" spans="1:8" x14ac:dyDescent="0.25">
      <c r="A64" s="2"/>
      <c r="B64" s="400"/>
      <c r="C64" s="400"/>
      <c r="D64" s="400"/>
      <c r="E64" s="400"/>
      <c r="F64" s="400"/>
      <c r="G64" s="400"/>
      <c r="H64" s="2"/>
    </row>
    <row r="65" spans="1:8" x14ac:dyDescent="0.25">
      <c r="A65" s="2"/>
      <c r="B65" s="2"/>
      <c r="C65" s="2"/>
      <c r="D65" s="2"/>
      <c r="E65" s="2"/>
      <c r="F65" s="2"/>
      <c r="G65" s="2"/>
      <c r="H65" s="2"/>
    </row>
  </sheetData>
  <sheetProtection algorithmName="SHA-512" hashValue="Q3v7MNgiU9najGwrH4La25bUuUXKVjL8kCLtQ4pvIMAYB8wPomO8F4gkWHJw9TtLicmZihYYP0Cnk/TnYuZOGg==" saltValue="+t7J+fiKuDEpyvu91101tg==" spinCount="100000" sheet="1" formatColumns="0" formatRows="0"/>
  <mergeCells count="10">
    <mergeCell ref="B2:G2"/>
    <mergeCell ref="B56:G56"/>
    <mergeCell ref="B57:G57"/>
    <mergeCell ref="B58:G58"/>
    <mergeCell ref="B64:G64"/>
    <mergeCell ref="B59:G59"/>
    <mergeCell ref="B60:G60"/>
    <mergeCell ref="B61:G61"/>
    <mergeCell ref="B62:G62"/>
    <mergeCell ref="B63:G63"/>
  </mergeCells>
  <phoneticPr fontId="0" type="noConversion"/>
  <printOptions horizontalCentered="1" verticalCentered="1"/>
  <pageMargins left="0.74803149606299213" right="0.74803149606299213" top="0.98425196850393704" bottom="0.98425196850393704" header="0.51181102362204722" footer="0.51181102362204722"/>
  <pageSetup scale="77" orientation="portrait" horizontalDpi="360"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H65"/>
  <sheetViews>
    <sheetView showGridLines="0" zoomScaleNormal="100" workbookViewId="0"/>
  </sheetViews>
  <sheetFormatPr defaultRowHeight="12.5" x14ac:dyDescent="0.25"/>
  <cols>
    <col min="1" max="1" width="2.26953125" customWidth="1"/>
    <col min="2" max="2" width="39.1796875" customWidth="1"/>
    <col min="3" max="7" width="12.7265625" customWidth="1"/>
    <col min="8" max="8" width="4.26953125" customWidth="1"/>
  </cols>
  <sheetData>
    <row r="1" spans="1:8" ht="3.75" customHeight="1" x14ac:dyDescent="0.25">
      <c r="A1" s="2"/>
      <c r="B1" s="2"/>
      <c r="C1" s="2"/>
      <c r="D1" s="2"/>
      <c r="E1" s="2"/>
      <c r="F1" s="2"/>
      <c r="G1" s="2"/>
      <c r="H1" s="2"/>
    </row>
    <row r="2" spans="1:8" ht="13" x14ac:dyDescent="0.25">
      <c r="A2" s="3"/>
      <c r="B2" s="460" t="str">
        <f xml:space="preserve"> "Pessimistic Results - " &amp; title</f>
        <v>Pessimistic Results - Business Valuation</v>
      </c>
      <c r="C2" s="461"/>
      <c r="D2" s="461"/>
      <c r="E2" s="461"/>
      <c r="F2" s="461"/>
      <c r="G2" s="462"/>
      <c r="H2" s="3"/>
    </row>
    <row r="3" spans="1:8" ht="13" x14ac:dyDescent="0.3">
      <c r="A3" s="3"/>
      <c r="B3" s="224" t="str">
        <f>Worksheet!Q2</f>
        <v>Pessimistic Forecast degraded by</v>
      </c>
      <c r="C3" s="215">
        <f>Worksheet!R2</f>
        <v>0.2</v>
      </c>
      <c r="D3" s="21"/>
      <c r="E3" s="21"/>
      <c r="F3" s="22"/>
      <c r="G3" s="225"/>
      <c r="H3" s="24"/>
    </row>
    <row r="4" spans="1:8" ht="13" x14ac:dyDescent="0.3">
      <c r="A4" s="3"/>
      <c r="B4" s="148" t="str">
        <f>Worksheet!Q3</f>
        <v>Example Business</v>
      </c>
      <c r="C4" s="21"/>
      <c r="D4" s="21"/>
      <c r="E4" s="21"/>
      <c r="F4" s="22"/>
      <c r="G4" s="225"/>
      <c r="H4" s="24"/>
    </row>
    <row r="5" spans="1:8" ht="26" x14ac:dyDescent="0.25">
      <c r="A5" s="3"/>
      <c r="B5" s="153"/>
      <c r="C5" s="44" t="str">
        <f>Worksheet!R4</f>
        <v>Current Year</v>
      </c>
      <c r="D5" s="154" t="str">
        <f>Worksheet!S4</f>
        <v>Year 1</v>
      </c>
      <c r="E5" s="154" t="str">
        <f>Worksheet!T4</f>
        <v>Year 2</v>
      </c>
      <c r="F5" s="154" t="str">
        <f>Worksheet!U4</f>
        <v>Year 3</v>
      </c>
      <c r="G5" s="44" t="str">
        <f>Worksheet!V4</f>
        <v>3 Year Average</v>
      </c>
      <c r="H5" s="3"/>
    </row>
    <row r="6" spans="1:8" ht="13" x14ac:dyDescent="0.3">
      <c r="A6" s="3"/>
      <c r="B6" s="148" t="str">
        <f>Worksheet!Q5</f>
        <v>Business Revenue</v>
      </c>
      <c r="C6" s="222">
        <f ca="1">Worksheet!R5</f>
        <v>500000</v>
      </c>
      <c r="D6" s="46">
        <f ca="1">Worksheet!S5</f>
        <v>542084.94208494201</v>
      </c>
      <c r="E6" s="47">
        <f ca="1">Worksheet!T5</f>
        <v>563768.33976833976</v>
      </c>
      <c r="F6" s="48">
        <f ca="1">Worksheet!U5</f>
        <v>591494.65156022529</v>
      </c>
      <c r="G6" s="222">
        <f ca="1">Worksheet!V5</f>
        <v>565782.6444711691</v>
      </c>
      <c r="H6" s="54"/>
    </row>
    <row r="7" spans="1:8" ht="13" x14ac:dyDescent="0.3">
      <c r="A7" s="3"/>
      <c r="B7" s="148" t="str">
        <f>Worksheet!Q6</f>
        <v>Expenses</v>
      </c>
      <c r="C7" s="25"/>
      <c r="D7" s="26"/>
      <c r="E7" s="27"/>
      <c r="F7" s="28"/>
      <c r="G7" s="60"/>
      <c r="H7" s="54"/>
    </row>
    <row r="8" spans="1:8" ht="13" x14ac:dyDescent="0.3">
      <c r="A8" s="3"/>
      <c r="B8" s="148" t="str">
        <f>Worksheet!Q7</f>
        <v>Variable Costs</v>
      </c>
      <c r="C8" s="29"/>
      <c r="D8" s="30"/>
      <c r="E8" s="30"/>
      <c r="F8" s="29"/>
      <c r="G8" s="60"/>
      <c r="H8" s="54"/>
    </row>
    <row r="9" spans="1:8" ht="13" x14ac:dyDescent="0.3">
      <c r="A9" s="3"/>
      <c r="B9" s="149" t="str">
        <f>Worksheet!Q8</f>
        <v>Materials &amp; Supplies</v>
      </c>
      <c r="C9" s="50">
        <f>Worksheet!R8</f>
        <v>10000</v>
      </c>
      <c r="D9" s="49">
        <f ca="1">Worksheet!S8</f>
        <v>11116.97635135135</v>
      </c>
      <c r="E9" s="49">
        <f ca="1">Worksheet!T8</f>
        <v>11672.82516891892</v>
      </c>
      <c r="F9" s="50">
        <f ca="1">Worksheet!U8</f>
        <v>12246.898537882147</v>
      </c>
      <c r="G9" s="222">
        <f ca="1">Worksheet!V8</f>
        <v>11678.90001938414</v>
      </c>
      <c r="H9" s="55"/>
    </row>
    <row r="10" spans="1:8" x14ac:dyDescent="0.25">
      <c r="A10" s="3"/>
      <c r="B10" s="34" t="str">
        <f>Worksheet!Q9</f>
        <v>% Revenue</v>
      </c>
      <c r="C10" s="35">
        <f ca="1">Worksheet!R9</f>
        <v>0.02</v>
      </c>
      <c r="D10" s="36">
        <f ca="1">Worksheet!S9</f>
        <v>2.05078125E-2</v>
      </c>
      <c r="E10" s="36">
        <f ca="1">Worksheet!T9</f>
        <v>2.0705003004807696E-2</v>
      </c>
      <c r="F10" s="35">
        <f ca="1">Worksheet!U9</f>
        <v>2.0705003004807699E-2</v>
      </c>
      <c r="G10" s="35">
        <f ca="1">Worksheet!V9</f>
        <v>2.0642025932591627E-2</v>
      </c>
      <c r="H10" s="55"/>
    </row>
    <row r="11" spans="1:8" ht="13" x14ac:dyDescent="0.3">
      <c r="A11" s="3"/>
      <c r="B11" s="149" t="str">
        <f>Worksheet!Q10</f>
        <v>Labor excluding Owner</v>
      </c>
      <c r="C11" s="50">
        <f>Worksheet!R10</f>
        <v>200000</v>
      </c>
      <c r="D11" s="49">
        <f ca="1">Worksheet!S10</f>
        <v>214900.33783783778</v>
      </c>
      <c r="E11" s="49">
        <f ca="1">Worksheet!T10</f>
        <v>222879.78046240841</v>
      </c>
      <c r="F11" s="50">
        <f ca="1">Worksheet!U10</f>
        <v>250882.66180386988</v>
      </c>
      <c r="G11" s="222">
        <f ca="1">Worksheet!V10</f>
        <v>229554.26003470537</v>
      </c>
      <c r="H11" s="55"/>
    </row>
    <row r="12" spans="1:8" x14ac:dyDescent="0.25">
      <c r="A12" s="3"/>
      <c r="B12" s="34" t="str">
        <f>Worksheet!Q11</f>
        <v>% Revenue</v>
      </c>
      <c r="C12" s="35">
        <f ca="1">Worksheet!R11</f>
        <v>0.4</v>
      </c>
      <c r="D12" s="36">
        <f ca="1">Worksheet!S11</f>
        <v>0.39643295940170936</v>
      </c>
      <c r="E12" s="36">
        <f ca="1">Worksheet!T11</f>
        <v>0.39533929939022971</v>
      </c>
      <c r="F12" s="35">
        <f ca="1">Worksheet!U11</f>
        <v>0.42415034716222672</v>
      </c>
      <c r="G12" s="35">
        <f ca="1">Worksheet!V11</f>
        <v>0.40572870567506936</v>
      </c>
      <c r="H12" s="55"/>
    </row>
    <row r="13" spans="1:8" ht="13" x14ac:dyDescent="0.3">
      <c r="A13" s="3"/>
      <c r="B13" s="149" t="str">
        <f>Worksheet!Q12</f>
        <v>Labor Owner</v>
      </c>
      <c r="C13" s="50">
        <f>Worksheet!R12</f>
        <v>50000</v>
      </c>
      <c r="D13" s="49">
        <f ca="1">Worksheet!S12</f>
        <v>49789.575289575288</v>
      </c>
      <c r="E13" s="49">
        <f ca="1">Worksheet!T12</f>
        <v>51338.969537591584</v>
      </c>
      <c r="F13" s="50">
        <f ca="1">Worksheet!U12</f>
        <v>54084.551310884242</v>
      </c>
      <c r="G13" s="222">
        <f ca="1">Worksheet!V12</f>
        <v>51737.698712683712</v>
      </c>
      <c r="H13" s="55"/>
    </row>
    <row r="14" spans="1:8" x14ac:dyDescent="0.25">
      <c r="A14" s="3"/>
      <c r="B14" s="34" t="str">
        <f>Worksheet!Q13</f>
        <v>% Revenue</v>
      </c>
      <c r="C14" s="35">
        <f ca="1">Worksheet!R13</f>
        <v>0.1</v>
      </c>
      <c r="D14" s="36">
        <f ca="1">Worksheet!S13</f>
        <v>9.1848290598290611E-2</v>
      </c>
      <c r="E14" s="36">
        <f ca="1">Worksheet!T13</f>
        <v>9.1063945802077995E-2</v>
      </c>
      <c r="F14" s="35">
        <f ca="1">Worksheet!U13</f>
        <v>9.1437092741619513E-2</v>
      </c>
      <c r="G14" s="35">
        <f ca="1">Worksheet!V13</f>
        <v>9.1444478225454193E-2</v>
      </c>
      <c r="H14" s="55"/>
    </row>
    <row r="15" spans="1:8" ht="13" x14ac:dyDescent="0.3">
      <c r="A15" s="3"/>
      <c r="B15" s="149" t="str">
        <f>Worksheet!Q14</f>
        <v>Distribution</v>
      </c>
      <c r="C15" s="50">
        <f>Worksheet!R14</f>
        <v>20000</v>
      </c>
      <c r="D15" s="49">
        <f ca="1">Worksheet!S14</f>
        <v>21175.193050193047</v>
      </c>
      <c r="E15" s="49">
        <f ca="1">Worksheet!T14</f>
        <v>21175.193050193051</v>
      </c>
      <c r="F15" s="50">
        <f ca="1">Worksheet!U14</f>
        <v>22216.595987087789</v>
      </c>
      <c r="G15" s="222">
        <f ca="1">Worksheet!V14</f>
        <v>21522.327362491294</v>
      </c>
      <c r="H15" s="55"/>
    </row>
    <row r="16" spans="1:8" x14ac:dyDescent="0.25">
      <c r="A16" s="3"/>
      <c r="B16" s="34" t="str">
        <f>Worksheet!Q15</f>
        <v>% Revenue</v>
      </c>
      <c r="C16" s="35">
        <f ca="1">Worksheet!R15</f>
        <v>0.04</v>
      </c>
      <c r="D16" s="36">
        <f ca="1">Worksheet!S15</f>
        <v>3.90625E-2</v>
      </c>
      <c r="E16" s="36">
        <f ca="1">Worksheet!T15</f>
        <v>3.7560096153846152E-2</v>
      </c>
      <c r="F16" s="35">
        <f ca="1">Worksheet!U15</f>
        <v>3.7560096153846152E-2</v>
      </c>
      <c r="G16" s="35">
        <f ca="1">Worksheet!V15</f>
        <v>3.8039921465968581E-2</v>
      </c>
      <c r="H16" s="55"/>
    </row>
    <row r="17" spans="1:8" ht="13" x14ac:dyDescent="0.3">
      <c r="A17" s="3"/>
      <c r="B17" s="149" t="str">
        <f>Worksheet!Q16</f>
        <v>Marketing</v>
      </c>
      <c r="C17" s="50">
        <f>Worksheet!R16</f>
        <v>10000</v>
      </c>
      <c r="D17" s="49">
        <f ca="1">Worksheet!S16</f>
        <v>10587.596525096524</v>
      </c>
      <c r="E17" s="49">
        <f ca="1">Worksheet!T16</f>
        <v>10587.596525096526</v>
      </c>
      <c r="F17" s="50">
        <f ca="1">Worksheet!U16</f>
        <v>11108.297993543894</v>
      </c>
      <c r="G17" s="222">
        <f ca="1">Worksheet!V16</f>
        <v>10761.163681245647</v>
      </c>
      <c r="H17" s="55"/>
    </row>
    <row r="18" spans="1:8" x14ac:dyDescent="0.25">
      <c r="A18" s="3"/>
      <c r="B18" s="34" t="str">
        <f>Worksheet!Q17</f>
        <v>% Revenue</v>
      </c>
      <c r="C18" s="35">
        <f ca="1">Worksheet!R17</f>
        <v>0.02</v>
      </c>
      <c r="D18" s="36">
        <f ca="1">Worksheet!S17</f>
        <v>1.953125E-2</v>
      </c>
      <c r="E18" s="36">
        <f ca="1">Worksheet!T17</f>
        <v>1.8780048076923076E-2</v>
      </c>
      <c r="F18" s="35">
        <f ca="1">Worksheet!U17</f>
        <v>1.8780048076923076E-2</v>
      </c>
      <c r="G18" s="35">
        <f ca="1">Worksheet!V17</f>
        <v>1.901996073298429E-2</v>
      </c>
      <c r="H18" s="55"/>
    </row>
    <row r="19" spans="1:8" ht="13" x14ac:dyDescent="0.3">
      <c r="A19" s="3"/>
      <c r="B19" s="149" t="str">
        <f>Worksheet!Q18</f>
        <v>Other</v>
      </c>
      <c r="C19" s="50">
        <f>Worksheet!R18</f>
        <v>20000</v>
      </c>
      <c r="D19" s="50">
        <f ca="1">Worksheet!S18</f>
        <v>21175.193050193047</v>
      </c>
      <c r="E19" s="50">
        <f ca="1">Worksheet!T18</f>
        <v>21175.193050193051</v>
      </c>
      <c r="F19" s="50">
        <f ca="1">Worksheet!U18</f>
        <v>22216.595987087789</v>
      </c>
      <c r="G19" s="222">
        <f ca="1">Worksheet!V18</f>
        <v>21522.327362491294</v>
      </c>
      <c r="H19" s="55"/>
    </row>
    <row r="20" spans="1:8" x14ac:dyDescent="0.25">
      <c r="A20" s="3"/>
      <c r="B20" s="34" t="str">
        <f>Worksheet!Q19</f>
        <v>% Revenue</v>
      </c>
      <c r="C20" s="35">
        <f ca="1">Worksheet!R19</f>
        <v>0.04</v>
      </c>
      <c r="D20" s="36">
        <f ca="1">Worksheet!S19</f>
        <v>3.90625E-2</v>
      </c>
      <c r="E20" s="36">
        <f ca="1">Worksheet!T19</f>
        <v>3.7560096153846152E-2</v>
      </c>
      <c r="F20" s="35">
        <f ca="1">Worksheet!U19</f>
        <v>3.7560096153846152E-2</v>
      </c>
      <c r="G20" s="35">
        <f ca="1">Worksheet!V19</f>
        <v>3.8039921465968581E-2</v>
      </c>
      <c r="H20" s="55"/>
    </row>
    <row r="21" spans="1:8" ht="13" x14ac:dyDescent="0.3">
      <c r="A21" s="3"/>
      <c r="B21" s="149" t="str">
        <f>Worksheet!Q20</f>
        <v>Total Variable Costs</v>
      </c>
      <c r="C21" s="51">
        <f>Worksheet!R20</f>
        <v>310000</v>
      </c>
      <c r="D21" s="51">
        <f ca="1">Worksheet!S20</f>
        <v>328744.8721042471</v>
      </c>
      <c r="E21" s="51">
        <f ca="1">Worksheet!T20</f>
        <v>338829.55779440154</v>
      </c>
      <c r="F21" s="51">
        <f ca="1">Worksheet!U20</f>
        <v>372755.6016203558</v>
      </c>
      <c r="G21" s="51">
        <f ca="1">Worksheet!V20</f>
        <v>346776.67717300146</v>
      </c>
      <c r="H21" s="56"/>
    </row>
    <row r="22" spans="1:8" ht="13" x14ac:dyDescent="0.25">
      <c r="A22" s="3"/>
      <c r="B22" s="34" t="str">
        <f>Worksheet!Q21</f>
        <v>Total Variable Costs %</v>
      </c>
      <c r="C22" s="38">
        <f ca="1">Worksheet!R21</f>
        <v>0.62</v>
      </c>
      <c r="D22" s="38">
        <f ca="1">Worksheet!S21</f>
        <v>0.60644531250000011</v>
      </c>
      <c r="E22" s="38">
        <f ca="1">Worksheet!T21</f>
        <v>0.60100848858173073</v>
      </c>
      <c r="F22" s="38">
        <f ca="1">Worksheet!U21</f>
        <v>0.63019268329326938</v>
      </c>
      <c r="G22" s="38">
        <f ca="1">Worksheet!V21</f>
        <v>0.61291501349803656</v>
      </c>
      <c r="H22" s="54"/>
    </row>
    <row r="23" spans="1:8" ht="13" x14ac:dyDescent="0.25">
      <c r="A23" s="3"/>
      <c r="B23" s="31" t="str">
        <f>Worksheet!Q22</f>
        <v>Gross Profit</v>
      </c>
      <c r="C23" s="37">
        <f ca="1">Worksheet!R22</f>
        <v>190000</v>
      </c>
      <c r="D23" s="37">
        <f ca="1">Worksheet!S22</f>
        <v>213340.06998069491</v>
      </c>
      <c r="E23" s="37">
        <f ca="1">Worksheet!T22</f>
        <v>224938.78197393822</v>
      </c>
      <c r="F23" s="37">
        <f ca="1">Worksheet!U22</f>
        <v>218739.0499398695</v>
      </c>
      <c r="G23" s="37">
        <f ca="1">Worksheet!V22</f>
        <v>219005.96729816764</v>
      </c>
      <c r="H23" s="54"/>
    </row>
    <row r="24" spans="1:8" ht="13" x14ac:dyDescent="0.25">
      <c r="A24" s="3"/>
      <c r="B24" s="34" t="str">
        <f>Worksheet!Q23</f>
        <v>Gross Profit %</v>
      </c>
      <c r="C24" s="38">
        <f ca="1">Worksheet!R23</f>
        <v>0.38</v>
      </c>
      <c r="D24" s="38">
        <f ca="1">Worksheet!S23</f>
        <v>0.39355468749999994</v>
      </c>
      <c r="E24" s="38">
        <f ca="1">Worksheet!T23</f>
        <v>0.39899151141826922</v>
      </c>
      <c r="F24" s="38">
        <f ca="1">Worksheet!U23</f>
        <v>0.36980731670673062</v>
      </c>
      <c r="G24" s="38">
        <f ca="1">Worksheet!V23</f>
        <v>0.38708498650196338</v>
      </c>
      <c r="H24" s="54"/>
    </row>
    <row r="25" spans="1:8" ht="13" x14ac:dyDescent="0.25">
      <c r="A25" s="3"/>
      <c r="B25" s="34" t="str">
        <f>Worksheet!Q24</f>
        <v>Mark-up Equivalent</v>
      </c>
      <c r="C25" s="38">
        <f ca="1">Worksheet!R24</f>
        <v>0.61290322580645151</v>
      </c>
      <c r="D25" s="39">
        <f ca="1">Worksheet!S24</f>
        <v>0.64895330112721394</v>
      </c>
      <c r="E25" s="39">
        <f ca="1">Worksheet!T24</f>
        <v>0.66387001015545666</v>
      </c>
      <c r="F25" s="38">
        <f ca="1">Worksheet!U24</f>
        <v>0.58681626510512075</v>
      </c>
      <c r="G25" s="38">
        <f ca="1">Worksheet!V24</f>
        <v>0.6315475685491645</v>
      </c>
      <c r="H25" s="54"/>
    </row>
    <row r="26" spans="1:8" ht="13" x14ac:dyDescent="0.3">
      <c r="A26" s="3"/>
      <c r="B26" s="148" t="str">
        <f>Worksheet!Q25</f>
        <v>Fixed Costs</v>
      </c>
      <c r="C26" s="29"/>
      <c r="D26" s="40"/>
      <c r="E26" s="40"/>
      <c r="F26" s="29"/>
      <c r="G26" s="29"/>
      <c r="H26" s="54"/>
    </row>
    <row r="27" spans="1:8" ht="13" x14ac:dyDescent="0.3">
      <c r="A27" s="3"/>
      <c r="B27" s="149" t="str">
        <f>Worksheet!Q26</f>
        <v>Location</v>
      </c>
      <c r="C27" s="50">
        <f>Worksheet!R26</f>
        <v>40000</v>
      </c>
      <c r="D27" s="49">
        <f ca="1">Worksheet!S26</f>
        <v>40841.698841698839</v>
      </c>
      <c r="E27" s="49">
        <f ca="1">Worksheet!T26</f>
        <v>41275.366795366797</v>
      </c>
      <c r="F27" s="50">
        <f ca="1">Worksheet!U26</f>
        <v>41829.893031204505</v>
      </c>
      <c r="G27" s="222">
        <f ca="1">Worksheet!V26</f>
        <v>41315.652889423385</v>
      </c>
      <c r="H27" s="54"/>
    </row>
    <row r="28" spans="1:8" x14ac:dyDescent="0.25">
      <c r="A28" s="3"/>
      <c r="B28" s="34" t="str">
        <f>Worksheet!Q27</f>
        <v>% Revenue</v>
      </c>
      <c r="C28" s="35">
        <f ca="1">Worksheet!R27</f>
        <v>0.08</v>
      </c>
      <c r="D28" s="36">
        <f ca="1">Worksheet!S27</f>
        <v>7.5341880341880343E-2</v>
      </c>
      <c r="E28" s="36">
        <f ca="1">Worksheet!T27</f>
        <v>7.3213346482577255E-2</v>
      </c>
      <c r="F28" s="35">
        <f ca="1">Worksheet!U27</f>
        <v>7.0718970866206446E-2</v>
      </c>
      <c r="G28" s="35">
        <f ca="1">Worksheet!V27</f>
        <v>7.3023895824942953E-2</v>
      </c>
      <c r="H28" s="54"/>
    </row>
    <row r="29" spans="1:8" ht="13" x14ac:dyDescent="0.3">
      <c r="A29" s="3"/>
      <c r="B29" s="149" t="str">
        <f>Worksheet!Q28</f>
        <v>Administration</v>
      </c>
      <c r="C29" s="50">
        <f>Worksheet!R28</f>
        <v>30000</v>
      </c>
      <c r="D29" s="49">
        <f ca="1">Worksheet!S28</f>
        <v>30631.274131274131</v>
      </c>
      <c r="E29" s="49">
        <f ca="1">Worksheet!T28</f>
        <v>30469.020764296354</v>
      </c>
      <c r="F29" s="50">
        <f ca="1">Worksheet!U28</f>
        <v>29690.736460292417</v>
      </c>
      <c r="G29" s="222">
        <f ca="1">Worksheet!V28</f>
        <v>30263.677118620966</v>
      </c>
      <c r="H29" s="54"/>
    </row>
    <row r="30" spans="1:8" x14ac:dyDescent="0.25">
      <c r="A30" s="3"/>
      <c r="B30" s="34" t="str">
        <f>Worksheet!Q29</f>
        <v>% Revenue</v>
      </c>
      <c r="C30" s="35">
        <f ca="1">Worksheet!R29</f>
        <v>0.06</v>
      </c>
      <c r="D30" s="36">
        <f ca="1">Worksheet!S29</f>
        <v>5.6506410256410261E-2</v>
      </c>
      <c r="E30" s="36">
        <f ca="1">Worksheet!T29</f>
        <v>5.4045285297178086E-2</v>
      </c>
      <c r="F30" s="35">
        <f ca="1">Worksheet!U29</f>
        <v>5.0196119917526157E-2</v>
      </c>
      <c r="G30" s="35">
        <f ca="1">Worksheet!V29</f>
        <v>5.3489935427248919E-2</v>
      </c>
      <c r="H30" s="54"/>
    </row>
    <row r="31" spans="1:8" ht="13" x14ac:dyDescent="0.3">
      <c r="A31" s="3"/>
      <c r="B31" s="149" t="str">
        <f>Worksheet!Q30</f>
        <v>Labor excluding Owner</v>
      </c>
      <c r="C31" s="50">
        <f>Worksheet!R30</f>
        <v>50000</v>
      </c>
      <c r="D31" s="49">
        <f ca="1">Worksheet!S30</f>
        <v>51052.12355212355</v>
      </c>
      <c r="E31" s="49">
        <f ca="1">Worksheet!T30</f>
        <v>52305.152312042075</v>
      </c>
      <c r="F31" s="50">
        <f ca="1">Worksheet!U30</f>
        <v>54027.243445578766</v>
      </c>
      <c r="G31" s="222">
        <f ca="1">Worksheet!V30</f>
        <v>52461.506436581461</v>
      </c>
      <c r="H31" s="54"/>
    </row>
    <row r="32" spans="1:8" x14ac:dyDescent="0.25">
      <c r="A32" s="3"/>
      <c r="B32" s="34" t="str">
        <f>Worksheet!Q31</f>
        <v>% Revenue</v>
      </c>
      <c r="C32" s="35">
        <f ca="1">Worksheet!R31</f>
        <v>0.1</v>
      </c>
      <c r="D32" s="36">
        <f ca="1">Worksheet!S31</f>
        <v>9.417735042735044E-2</v>
      </c>
      <c r="E32" s="36">
        <f ca="1">Worksheet!T31</f>
        <v>9.2777739760155714E-2</v>
      </c>
      <c r="F32" s="35">
        <f ca="1">Worksheet!U31</f>
        <v>9.1340206209925084E-2</v>
      </c>
      <c r="G32" s="35">
        <f ca="1">Worksheet!V31</f>
        <v>9.272378173709564E-2</v>
      </c>
      <c r="H32" s="54"/>
    </row>
    <row r="33" spans="1:8" ht="13" x14ac:dyDescent="0.3">
      <c r="A33" s="3"/>
      <c r="B33" s="149" t="str">
        <f>Worksheet!Q32</f>
        <v>Labor Owner</v>
      </c>
      <c r="C33" s="50">
        <f>Worksheet!R32</f>
        <v>10000</v>
      </c>
      <c r="D33" s="49">
        <f ca="1">Worksheet!S32</f>
        <v>10210.42471042471</v>
      </c>
      <c r="E33" s="49">
        <f ca="1">Worksheet!T32</f>
        <v>10461.030462408416</v>
      </c>
      <c r="F33" s="50">
        <f ca="1">Worksheet!U32</f>
        <v>10805.448689115756</v>
      </c>
      <c r="G33" s="222">
        <f ca="1">Worksheet!V32</f>
        <v>10492.301287316295</v>
      </c>
      <c r="H33" s="54"/>
    </row>
    <row r="34" spans="1:8" x14ac:dyDescent="0.25">
      <c r="A34" s="3"/>
      <c r="B34" s="34" t="str">
        <f>Worksheet!Q33</f>
        <v>% Revenue</v>
      </c>
      <c r="C34" s="35">
        <f ca="1">Worksheet!R33</f>
        <v>0.02</v>
      </c>
      <c r="D34" s="36">
        <f ca="1">Worksheet!S33</f>
        <v>1.8835470085470086E-2</v>
      </c>
      <c r="E34" s="36">
        <f ca="1">Worksheet!T33</f>
        <v>1.8555547952031147E-2</v>
      </c>
      <c r="F34" s="35">
        <f ca="1">Worksheet!U33</f>
        <v>1.8268041241985021E-2</v>
      </c>
      <c r="G34" s="35">
        <f ca="1">Worksheet!V33</f>
        <v>1.8544756347419131E-2</v>
      </c>
      <c r="H34" s="54"/>
    </row>
    <row r="35" spans="1:8" ht="13" x14ac:dyDescent="0.3">
      <c r="A35" s="3"/>
      <c r="B35" s="149" t="str">
        <f>Worksheet!Q34</f>
        <v>Interest Costs</v>
      </c>
      <c r="C35" s="50">
        <f>Worksheet!R34</f>
        <v>0</v>
      </c>
      <c r="D35" s="49">
        <f>Worksheet!S34</f>
        <v>0</v>
      </c>
      <c r="E35" s="49">
        <f>Worksheet!T34</f>
        <v>0</v>
      </c>
      <c r="F35" s="49">
        <f>Worksheet!U34</f>
        <v>0</v>
      </c>
      <c r="G35" s="222">
        <f>Worksheet!V34</f>
        <v>0</v>
      </c>
      <c r="H35" s="54"/>
    </row>
    <row r="36" spans="1:8" x14ac:dyDescent="0.25">
      <c r="A36" s="3"/>
      <c r="B36" s="34" t="str">
        <f>Worksheet!Q35</f>
        <v>% Revenue</v>
      </c>
      <c r="C36" s="35">
        <f ca="1">Worksheet!R35</f>
        <v>0</v>
      </c>
      <c r="D36" s="35">
        <f ca="1">Worksheet!S35</f>
        <v>0</v>
      </c>
      <c r="E36" s="35">
        <f ca="1">Worksheet!T35</f>
        <v>0</v>
      </c>
      <c r="F36" s="35">
        <f ca="1">Worksheet!U35</f>
        <v>0</v>
      </c>
      <c r="G36" s="35">
        <f ca="1">Worksheet!V35</f>
        <v>0</v>
      </c>
      <c r="H36" s="54"/>
    </row>
    <row r="37" spans="1:8" ht="13" x14ac:dyDescent="0.3">
      <c r="A37" s="3"/>
      <c r="B37" s="149" t="str">
        <f>Worksheet!Q36</f>
        <v>Other</v>
      </c>
      <c r="C37" s="50">
        <f>Worksheet!R36</f>
        <v>0</v>
      </c>
      <c r="D37" s="49">
        <f ca="1">Worksheet!S36</f>
        <v>0</v>
      </c>
      <c r="E37" s="49">
        <f ca="1">Worksheet!T36</f>
        <v>0</v>
      </c>
      <c r="F37" s="50">
        <f ca="1">Worksheet!U36</f>
        <v>0</v>
      </c>
      <c r="G37" s="222">
        <f ca="1">Worksheet!V36</f>
        <v>0</v>
      </c>
      <c r="H37" s="54"/>
    </row>
    <row r="38" spans="1:8" x14ac:dyDescent="0.25">
      <c r="A38" s="3"/>
      <c r="B38" s="34" t="str">
        <f>Worksheet!Q37</f>
        <v>% Revenue</v>
      </c>
      <c r="C38" s="35">
        <f ca="1">Worksheet!R37</f>
        <v>0</v>
      </c>
      <c r="D38" s="36">
        <f ca="1">Worksheet!S37</f>
        <v>0</v>
      </c>
      <c r="E38" s="36">
        <f ca="1">Worksheet!T37</f>
        <v>0</v>
      </c>
      <c r="F38" s="35">
        <f ca="1">Worksheet!U37</f>
        <v>0</v>
      </c>
      <c r="G38" s="35">
        <f ca="1">Worksheet!V37</f>
        <v>0</v>
      </c>
      <c r="H38" s="54"/>
    </row>
    <row r="39" spans="1:8" ht="13" x14ac:dyDescent="0.3">
      <c r="A39" s="3"/>
      <c r="B39" s="149" t="str">
        <f>Worksheet!Q38</f>
        <v>Total Fixed Costs</v>
      </c>
      <c r="C39" s="51">
        <f>Worksheet!R38</f>
        <v>130000</v>
      </c>
      <c r="D39" s="51">
        <f ca="1">Worksheet!S38</f>
        <v>132735.52123552124</v>
      </c>
      <c r="E39" s="51">
        <f ca="1">Worksheet!T38</f>
        <v>134510.57033411364</v>
      </c>
      <c r="F39" s="51">
        <f ca="1">Worksheet!U38</f>
        <v>136353.32162619143</v>
      </c>
      <c r="G39" s="51">
        <f ca="1">Worksheet!V38</f>
        <v>134533.13773194209</v>
      </c>
      <c r="H39" s="54"/>
    </row>
    <row r="40" spans="1:8" ht="13" x14ac:dyDescent="0.25">
      <c r="A40" s="3"/>
      <c r="B40" s="34" t="str">
        <f>Worksheet!Q39</f>
        <v>Total Fixed Costs %</v>
      </c>
      <c r="C40" s="38">
        <f ca="1">Worksheet!R39</f>
        <v>0.26</v>
      </c>
      <c r="D40" s="38">
        <f ca="1">Worksheet!S39</f>
        <v>0.24486111111111117</v>
      </c>
      <c r="E40" s="38">
        <f ca="1">Worksheet!T39</f>
        <v>0.23859191949194219</v>
      </c>
      <c r="F40" s="38">
        <f ca="1">Worksheet!U39</f>
        <v>0.23052333823564269</v>
      </c>
      <c r="G40" s="38">
        <f ca="1">Worksheet!V39</f>
        <v>0.2377823693367066</v>
      </c>
      <c r="H40" s="54"/>
    </row>
    <row r="41" spans="1:8" ht="13" x14ac:dyDescent="0.25">
      <c r="A41" s="3"/>
      <c r="B41" s="31"/>
      <c r="C41" s="35"/>
      <c r="D41" s="39"/>
      <c r="E41" s="39"/>
      <c r="F41" s="38"/>
      <c r="G41" s="60"/>
      <c r="H41" s="54"/>
    </row>
    <row r="42" spans="1:8" ht="13" x14ac:dyDescent="0.25">
      <c r="A42" s="3"/>
      <c r="B42" s="19" t="str">
        <f>Worksheet!Q41</f>
        <v>Total Expenses</v>
      </c>
      <c r="C42" s="51">
        <f>Worksheet!R41</f>
        <v>440000</v>
      </c>
      <c r="D42" s="52">
        <f ca="1">Worksheet!S41</f>
        <v>461480.39333976834</v>
      </c>
      <c r="E42" s="52">
        <f ca="1">Worksheet!T41</f>
        <v>473340.12812851521</v>
      </c>
      <c r="F42" s="51">
        <f ca="1">Worksheet!U41</f>
        <v>509108.92324654723</v>
      </c>
      <c r="G42" s="51">
        <f ca="1">Worksheet!V41</f>
        <v>481309.81490494357</v>
      </c>
      <c r="H42" s="54"/>
    </row>
    <row r="43" spans="1:8" ht="13" x14ac:dyDescent="0.3">
      <c r="A43" s="3"/>
      <c r="B43" s="41"/>
      <c r="C43" s="33"/>
      <c r="D43" s="32"/>
      <c r="E43" s="32"/>
      <c r="F43" s="33"/>
      <c r="G43" s="60"/>
      <c r="H43" s="54"/>
    </row>
    <row r="44" spans="1:8" ht="13" x14ac:dyDescent="0.25">
      <c r="A44" s="3"/>
      <c r="B44" s="151" t="str">
        <f>Worksheet!Q43</f>
        <v>Operating Surplus</v>
      </c>
      <c r="C44" s="51">
        <f ca="1">Worksheet!R43</f>
        <v>60000</v>
      </c>
      <c r="D44" s="52">
        <f ca="1">Worksheet!S43</f>
        <v>80604.54874517367</v>
      </c>
      <c r="E44" s="52">
        <f ca="1">Worksheet!T43</f>
        <v>90428.211639824556</v>
      </c>
      <c r="F44" s="51">
        <f ca="1">Worksheet!U43</f>
        <v>82385.728313678061</v>
      </c>
      <c r="G44" s="51">
        <f ca="1">Worksheet!V43</f>
        <v>84472.829566225424</v>
      </c>
      <c r="H44" s="54"/>
    </row>
    <row r="45" spans="1:8" ht="13" x14ac:dyDescent="0.25">
      <c r="A45" s="3"/>
      <c r="B45" s="34" t="str">
        <f>Worksheet!Q44</f>
        <v>Operating Surplus %</v>
      </c>
      <c r="C45" s="38">
        <f ca="1">Worksheet!R44</f>
        <v>0.12</v>
      </c>
      <c r="D45" s="38">
        <f ca="1">Worksheet!S44</f>
        <v>0.14869357638888878</v>
      </c>
      <c r="E45" s="38">
        <f ca="1">Worksheet!T44</f>
        <v>0.16039959192632697</v>
      </c>
      <c r="F45" s="38">
        <f ca="1">Worksheet!U44</f>
        <v>0.13928397847108789</v>
      </c>
      <c r="G45" s="38">
        <f ca="1">Worksheet!V44</f>
        <v>0.14930261716525656</v>
      </c>
      <c r="H45" s="54"/>
    </row>
    <row r="46" spans="1:8" ht="13" x14ac:dyDescent="0.25">
      <c r="A46" s="3"/>
      <c r="B46" s="42"/>
      <c r="C46" s="38"/>
      <c r="D46" s="38"/>
      <c r="E46" s="38"/>
      <c r="F46" s="38"/>
      <c r="G46" s="60"/>
      <c r="H46" s="57"/>
    </row>
    <row r="47" spans="1:8" ht="13" x14ac:dyDescent="0.3">
      <c r="A47" s="3"/>
      <c r="B47" s="152" t="str">
        <f>Worksheet!Q46</f>
        <v>Owner Cash Flow</v>
      </c>
      <c r="C47" s="52">
        <f ca="1">Worksheet!R46</f>
        <v>120000</v>
      </c>
      <c r="D47" s="51">
        <f ca="1">Worksheet!S46</f>
        <v>140604.54874517367</v>
      </c>
      <c r="E47" s="51">
        <f ca="1">Worksheet!T46</f>
        <v>152228.21163982456</v>
      </c>
      <c r="F47" s="51">
        <f ca="1">Worksheet!U46</f>
        <v>147275.72831367806</v>
      </c>
      <c r="G47" s="51">
        <f ca="1">Worksheet!V46</f>
        <v>146702.82956622544</v>
      </c>
      <c r="H47" s="58"/>
    </row>
    <row r="48" spans="1:8" ht="13" x14ac:dyDescent="0.25">
      <c r="A48" s="3"/>
      <c r="B48" s="221" t="str">
        <f>Worksheet!Q47</f>
        <v>Owner Cash Flow %</v>
      </c>
      <c r="C48" s="39">
        <f ca="1">Worksheet!R47</f>
        <v>0.24</v>
      </c>
      <c r="D48" s="39">
        <f ca="1">Worksheet!S47</f>
        <v>0.25937733707264948</v>
      </c>
      <c r="E48" s="38">
        <f ca="1">Worksheet!T47</f>
        <v>0.27001908568043614</v>
      </c>
      <c r="F48" s="38">
        <f ca="1">Worksheet!U47</f>
        <v>0.24898911245469244</v>
      </c>
      <c r="G48" s="39">
        <f ca="1">Worksheet!V47</f>
        <v>0.25929185173812991</v>
      </c>
      <c r="H48" s="23"/>
    </row>
    <row r="49" spans="1:8" ht="13" x14ac:dyDescent="0.25">
      <c r="A49" s="3"/>
      <c r="B49" s="206" t="str">
        <f>Worksheet!Q94</f>
        <v>LESS</v>
      </c>
      <c r="C49" s="201"/>
      <c r="D49" s="207"/>
      <c r="E49" s="201"/>
      <c r="F49" s="201"/>
      <c r="G49" s="204"/>
      <c r="H49" s="158"/>
    </row>
    <row r="50" spans="1:8" ht="13" x14ac:dyDescent="0.25">
      <c r="A50" s="3"/>
      <c r="B50" s="203" t="str">
        <f>Worksheet!Q95</f>
        <v>Depreciation Allowance</v>
      </c>
      <c r="C50" s="50">
        <f>Worksheet!R95</f>
        <v>12500</v>
      </c>
      <c r="D50" s="50">
        <f ca="1">Worksheet!S95</f>
        <v>12763.030888030888</v>
      </c>
      <c r="E50" s="50">
        <f ca="1">Worksheet!T95</f>
        <v>12898.552123552123</v>
      </c>
      <c r="F50" s="50">
        <f ca="1">Worksheet!U95</f>
        <v>13071.841572251407</v>
      </c>
      <c r="G50" s="222">
        <f ca="1">Worksheet!V95</f>
        <v>12911.141527944807</v>
      </c>
      <c r="H50" s="158"/>
    </row>
    <row r="51" spans="1:8" ht="13" x14ac:dyDescent="0.25">
      <c r="A51" s="3"/>
      <c r="B51" s="203" t="str">
        <f>Worksheet!Q96</f>
        <v>Owners External Earning Power</v>
      </c>
      <c r="C51" s="50">
        <f>Worksheet!R96</f>
        <v>60000</v>
      </c>
      <c r="D51" s="223">
        <f>Worksheet!S96</f>
        <v>60000</v>
      </c>
      <c r="E51" s="50">
        <f>Worksheet!T96</f>
        <v>62160</v>
      </c>
      <c r="F51" s="50">
        <f>Worksheet!U96</f>
        <v>65889.600000000006</v>
      </c>
      <c r="G51" s="222">
        <f>Worksheet!V96</f>
        <v>62683.200000000004</v>
      </c>
      <c r="H51" s="158"/>
    </row>
    <row r="52" spans="1:8" ht="13" x14ac:dyDescent="0.25">
      <c r="A52" s="3"/>
      <c r="B52" s="176" t="str">
        <f>Worksheet!Q97</f>
        <v>Business Return</v>
      </c>
      <c r="C52" s="51">
        <f ca="1">Worksheet!R97</f>
        <v>47500</v>
      </c>
      <c r="D52" s="51">
        <f ca="1">Worksheet!S97</f>
        <v>67841.517857142782</v>
      </c>
      <c r="E52" s="51">
        <f ca="1">Worksheet!T97</f>
        <v>77169.659516272426</v>
      </c>
      <c r="F52" s="51">
        <f ca="1">Worksheet!U97</f>
        <v>68314.286741426651</v>
      </c>
      <c r="G52" s="51">
        <f ca="1">Worksheet!V97</f>
        <v>71108.488038280615</v>
      </c>
      <c r="H52" s="158"/>
    </row>
    <row r="53" spans="1:8" ht="13" x14ac:dyDescent="0.25">
      <c r="A53" s="3"/>
      <c r="B53" s="176" t="str">
        <f>Worksheet!Q98</f>
        <v>Return on Sales</v>
      </c>
      <c r="C53" s="209">
        <f ca="1">Worksheet!R98</f>
        <v>9.5000000000000001E-2</v>
      </c>
      <c r="D53" s="210">
        <f ca="1">Worksheet!S98</f>
        <v>0.12514923878205117</v>
      </c>
      <c r="E53" s="210">
        <f ca="1">Worksheet!T98</f>
        <v>0.13688186099273064</v>
      </c>
      <c r="F53" s="210">
        <f ca="1">Worksheet!U98</f>
        <v>0.11549434396613639</v>
      </c>
      <c r="G53" s="209">
        <f ca="1">Worksheet!V98</f>
        <v>0.12568163540036642</v>
      </c>
      <c r="H53" s="159"/>
    </row>
    <row r="54" spans="1:8" ht="13" x14ac:dyDescent="0.25">
      <c r="A54" s="3"/>
      <c r="B54" s="220" t="str">
        <f>+Worksheet!B80</f>
        <v>Total Investment</v>
      </c>
      <c r="C54" s="222">
        <f ca="1">+Worksheet!S80</f>
        <v>248590.78550663125</v>
      </c>
      <c r="D54" s="210"/>
      <c r="E54" s="210"/>
      <c r="F54" s="210"/>
      <c r="G54" s="209"/>
      <c r="H54" s="159"/>
    </row>
    <row r="55" spans="1:8" ht="13" x14ac:dyDescent="0.25">
      <c r="A55" s="3"/>
      <c r="B55" s="176" t="str">
        <f>Worksheet!Q99</f>
        <v>Return on Total Investment</v>
      </c>
      <c r="C55" s="308">
        <f ca="1">Worksheet!R99</f>
        <v>0.19107707432998525</v>
      </c>
      <c r="D55" s="308">
        <f ca="1">Worksheet!S99</f>
        <v>0.27290439474206935</v>
      </c>
      <c r="E55" s="308">
        <f ca="1">Worksheet!T99</f>
        <v>0.31042847931390399</v>
      </c>
      <c r="F55" s="308">
        <f ca="1">Worksheet!U99</f>
        <v>0.27480619043140014</v>
      </c>
      <c r="G55" s="308">
        <f ca="1">Worksheet!V99</f>
        <v>0.28604635482912449</v>
      </c>
      <c r="H55" s="159"/>
    </row>
    <row r="56" spans="1:8" ht="13" x14ac:dyDescent="0.25">
      <c r="A56" s="3"/>
      <c r="B56" s="460" t="str">
        <f>copy</f>
        <v>© bizpep.com</v>
      </c>
      <c r="C56" s="421" t="e">
        <f>+#REF!</f>
        <v>#REF!</v>
      </c>
      <c r="D56" s="421" t="e">
        <f>+#REF!</f>
        <v>#REF!</v>
      </c>
      <c r="E56" s="421" t="e">
        <f>+#REF!</f>
        <v>#REF!</v>
      </c>
      <c r="F56" s="421" t="e">
        <f>+#REF!</f>
        <v>#REF!</v>
      </c>
      <c r="G56" s="422" t="e">
        <f>+#REF!</f>
        <v>#REF!</v>
      </c>
      <c r="H56" s="159"/>
    </row>
    <row r="57" spans="1:8" ht="18" x14ac:dyDescent="0.25">
      <c r="A57" s="3"/>
      <c r="B57" s="401"/>
      <c r="C57" s="401"/>
      <c r="D57" s="401"/>
      <c r="E57" s="401"/>
      <c r="F57" s="401"/>
      <c r="G57" s="401"/>
      <c r="H57" s="159"/>
    </row>
    <row r="58" spans="1:8" ht="18" x14ac:dyDescent="0.25">
      <c r="A58" s="3"/>
      <c r="B58" s="402"/>
      <c r="C58" s="402"/>
      <c r="D58" s="402"/>
      <c r="E58" s="402"/>
      <c r="F58" s="402"/>
      <c r="G58" s="402"/>
      <c r="H58" s="159"/>
    </row>
    <row r="59" spans="1:8" ht="18" x14ac:dyDescent="0.25">
      <c r="A59" s="3"/>
      <c r="B59" s="403"/>
      <c r="C59" s="403"/>
      <c r="D59" s="403"/>
      <c r="E59" s="403"/>
      <c r="F59" s="403"/>
      <c r="G59" s="403"/>
      <c r="H59" s="159"/>
    </row>
    <row r="60" spans="1:8" ht="18" x14ac:dyDescent="0.25">
      <c r="A60" s="2"/>
      <c r="B60" s="402"/>
      <c r="C60" s="402"/>
      <c r="D60" s="402"/>
      <c r="E60" s="402"/>
      <c r="F60" s="402"/>
      <c r="G60" s="402"/>
      <c r="H60" s="2"/>
    </row>
    <row r="61" spans="1:8" ht="18" x14ac:dyDescent="0.25">
      <c r="A61" s="2"/>
      <c r="B61" s="384"/>
      <c r="C61" s="384"/>
      <c r="D61" s="384"/>
      <c r="E61" s="384"/>
      <c r="F61" s="384"/>
      <c r="G61" s="384"/>
      <c r="H61" s="2"/>
    </row>
    <row r="62" spans="1:8" ht="18" x14ac:dyDescent="0.25">
      <c r="A62" s="2"/>
      <c r="B62" s="404"/>
      <c r="C62" s="404"/>
      <c r="D62" s="404"/>
      <c r="E62" s="404"/>
      <c r="F62" s="404"/>
      <c r="G62" s="404"/>
      <c r="H62" s="2"/>
    </row>
    <row r="63" spans="1:8" ht="18" x14ac:dyDescent="0.25">
      <c r="A63" s="2"/>
      <c r="B63" s="384"/>
      <c r="C63" s="384"/>
      <c r="D63" s="384"/>
      <c r="E63" s="384"/>
      <c r="F63" s="384"/>
      <c r="G63" s="384"/>
      <c r="H63" s="2"/>
    </row>
    <row r="64" spans="1:8" x14ac:dyDescent="0.25">
      <c r="A64" s="2"/>
      <c r="B64" s="400"/>
      <c r="C64" s="400"/>
      <c r="D64" s="400"/>
      <c r="E64" s="400"/>
      <c r="F64" s="400"/>
      <c r="G64" s="400"/>
      <c r="H64" s="2"/>
    </row>
    <row r="65" spans="1:8" x14ac:dyDescent="0.25">
      <c r="A65" s="2"/>
      <c r="B65" s="2"/>
      <c r="C65" s="2"/>
      <c r="D65" s="2"/>
      <c r="E65" s="2"/>
      <c r="F65" s="2"/>
      <c r="G65" s="2"/>
      <c r="H65" s="2"/>
    </row>
  </sheetData>
  <sheetProtection algorithmName="SHA-512" hashValue="28ZGUTnLDzm/B8PZakg+m2MFZ+TdMbZjUtVC9TfO1KNp+BmqumE4tGEzZ6FkmEIxMNaTGwK+VB9qa/CkAQbE+Q==" saltValue="CluRtvXyuTjvNtpN3yhwZw==" spinCount="100000" sheet="1" formatColumns="0" formatRows="0"/>
  <mergeCells count="10">
    <mergeCell ref="B2:G2"/>
    <mergeCell ref="B56:G56"/>
    <mergeCell ref="B57:G57"/>
    <mergeCell ref="B58:G58"/>
    <mergeCell ref="B64:G64"/>
    <mergeCell ref="B59:G59"/>
    <mergeCell ref="B60:G60"/>
    <mergeCell ref="B61:G61"/>
    <mergeCell ref="B62:G62"/>
    <mergeCell ref="B63:G63"/>
  </mergeCells>
  <phoneticPr fontId="0" type="noConversion"/>
  <printOptions horizontalCentered="1" verticalCentered="1"/>
  <pageMargins left="0.74803149606299213" right="0.74803149606299213" top="0.98425196850393704" bottom="0.98425196850393704" header="0.51181102362204722" footer="0.51181102362204722"/>
  <pageSetup scale="77" orientation="portrait" horizontalDpi="360" vertic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autoPageBreaks="0" fitToPage="1"/>
  </sheetPr>
  <dimension ref="A1:E90"/>
  <sheetViews>
    <sheetView showGridLines="0" zoomScaleNormal="100" workbookViewId="0"/>
  </sheetViews>
  <sheetFormatPr defaultColWidth="9.1796875" defaultRowHeight="12.5" x14ac:dyDescent="0.25"/>
  <cols>
    <col min="1" max="1" width="3.26953125" style="1" customWidth="1"/>
    <col min="2" max="2" width="17.7265625" style="8" customWidth="1"/>
    <col min="3" max="3" width="2.81640625" style="1" customWidth="1"/>
    <col min="4" max="4" width="79.453125" style="1" customWidth="1"/>
    <col min="5" max="5" width="4.453125" style="1" customWidth="1"/>
    <col min="6" max="16384" width="9.1796875" style="1"/>
  </cols>
  <sheetData>
    <row r="1" spans="1:5" ht="3.75" customHeight="1" x14ac:dyDescent="0.25">
      <c r="A1" s="5"/>
      <c r="B1" s="7"/>
      <c r="C1" s="6"/>
      <c r="D1" s="15"/>
      <c r="E1" s="5"/>
    </row>
    <row r="2" spans="1:5" x14ac:dyDescent="0.25">
      <c r="A2" s="5"/>
      <c r="B2" s="423" t="str">
        <f xml:space="preserve"> "Instructions - "&amp;title</f>
        <v>Instructions - Business Valuation</v>
      </c>
      <c r="C2" s="435"/>
      <c r="D2" s="436"/>
      <c r="E2" s="6"/>
    </row>
    <row r="3" spans="1:5" x14ac:dyDescent="0.25">
      <c r="A3" s="5"/>
      <c r="B3" s="472" t="s">
        <v>106</v>
      </c>
      <c r="C3" s="473"/>
      <c r="D3" s="474"/>
      <c r="E3" s="6"/>
    </row>
    <row r="4" spans="1:5" ht="141.75" customHeight="1" x14ac:dyDescent="0.25">
      <c r="A4" s="5"/>
      <c r="B4" s="11" t="s">
        <v>99</v>
      </c>
      <c r="C4" s="13"/>
      <c r="D4" s="66" t="s">
        <v>96</v>
      </c>
      <c r="E4" s="6"/>
    </row>
    <row r="5" spans="1:5" ht="13" x14ac:dyDescent="0.25">
      <c r="A5" s="5"/>
      <c r="B5" s="11"/>
      <c r="C5" s="14"/>
      <c r="D5" s="268"/>
      <c r="E5" s="6"/>
    </row>
    <row r="6" spans="1:5" ht="13" x14ac:dyDescent="0.25">
      <c r="A6" s="5"/>
      <c r="B6" s="11" t="s">
        <v>100</v>
      </c>
      <c r="C6" s="103"/>
      <c r="D6" s="66" t="s">
        <v>95</v>
      </c>
      <c r="E6" s="6"/>
    </row>
    <row r="7" spans="1:5" ht="13" x14ac:dyDescent="0.25">
      <c r="A7" s="5"/>
      <c r="B7" s="269"/>
      <c r="C7" s="103"/>
      <c r="D7" s="268" t="s">
        <v>270</v>
      </c>
      <c r="E7" s="6"/>
    </row>
    <row r="8" spans="1:5" ht="13" x14ac:dyDescent="0.25">
      <c r="A8" s="5"/>
      <c r="B8" s="469" t="s">
        <v>98</v>
      </c>
      <c r="C8" s="470"/>
      <c r="D8" s="471"/>
      <c r="E8" s="6"/>
    </row>
    <row r="9" spans="1:5" x14ac:dyDescent="0.25">
      <c r="A9" s="272"/>
      <c r="B9" s="475" t="s">
        <v>149</v>
      </c>
      <c r="C9" s="476"/>
      <c r="D9" s="477"/>
      <c r="E9" s="6"/>
    </row>
    <row r="10" spans="1:5" ht="87.5" x14ac:dyDescent="0.25">
      <c r="A10" s="272"/>
      <c r="B10" s="258" t="str">
        <f>+Input!B9</f>
        <v>Current Operating Performance Data</v>
      </c>
      <c r="C10" s="273"/>
      <c r="D10" s="66" t="s">
        <v>180</v>
      </c>
      <c r="E10" s="6"/>
    </row>
    <row r="11" spans="1:5" ht="25" x14ac:dyDescent="0.25">
      <c r="A11" s="272"/>
      <c r="B11" s="278" t="str">
        <f>+Input!B11</f>
        <v>Business Name or Identifier</v>
      </c>
      <c r="C11" s="274"/>
      <c r="D11" s="66" t="s">
        <v>107</v>
      </c>
      <c r="E11" s="6"/>
    </row>
    <row r="12" spans="1:5" ht="13" x14ac:dyDescent="0.25">
      <c r="A12" s="272"/>
      <c r="B12" s="259" t="str">
        <f>+Input!B13</f>
        <v>Business Revenue</v>
      </c>
      <c r="C12" s="274"/>
      <c r="D12" s="66" t="s">
        <v>108</v>
      </c>
      <c r="E12" s="6"/>
    </row>
    <row r="13" spans="1:5" ht="25" x14ac:dyDescent="0.25">
      <c r="A13" s="272"/>
      <c r="B13" s="262" t="s">
        <v>16</v>
      </c>
      <c r="C13" s="274"/>
      <c r="D13" s="66" t="s">
        <v>109</v>
      </c>
      <c r="E13" s="6"/>
    </row>
    <row r="14" spans="1:5" ht="25" x14ac:dyDescent="0.25">
      <c r="A14" s="272"/>
      <c r="B14" s="259" t="str">
        <f>+Input!B16</f>
        <v>Variable Costs</v>
      </c>
      <c r="C14" s="248"/>
      <c r="D14" s="66" t="s">
        <v>150</v>
      </c>
      <c r="E14" s="6"/>
    </row>
    <row r="15" spans="1:5" ht="25" x14ac:dyDescent="0.25">
      <c r="A15" s="272"/>
      <c r="B15" s="240" t="str">
        <f>+Input!B17</f>
        <v>Materials &amp; Supplies</v>
      </c>
      <c r="C15" s="249"/>
      <c r="D15" s="66" t="s">
        <v>151</v>
      </c>
      <c r="E15" s="6"/>
    </row>
    <row r="16" spans="1:5" ht="37.5" x14ac:dyDescent="0.25">
      <c r="A16" s="5"/>
      <c r="B16" s="240" t="str">
        <f>+Input!B18</f>
        <v>Labor excluding Owner</v>
      </c>
      <c r="C16" s="249"/>
      <c r="D16" s="66" t="s">
        <v>152</v>
      </c>
      <c r="E16" s="6"/>
    </row>
    <row r="17" spans="1:5" ht="50" x14ac:dyDescent="0.25">
      <c r="A17" s="5"/>
      <c r="B17" s="240" t="str">
        <f>+Input!B19</f>
        <v>Labor Owner</v>
      </c>
      <c r="C17" s="250"/>
      <c r="D17" s="66" t="s">
        <v>153</v>
      </c>
      <c r="E17" s="6"/>
    </row>
    <row r="18" spans="1:5" ht="12.75" customHeight="1" x14ac:dyDescent="0.25">
      <c r="A18" s="5"/>
      <c r="B18" s="240" t="str">
        <f>+Input!B20</f>
        <v>Distribution</v>
      </c>
      <c r="C18" s="250"/>
      <c r="D18" s="66" t="s">
        <v>154</v>
      </c>
      <c r="E18" s="6"/>
    </row>
    <row r="19" spans="1:5" ht="62.5" x14ac:dyDescent="0.25">
      <c r="A19" s="5"/>
      <c r="B19" s="240" t="str">
        <f>+Input!B21</f>
        <v>Marketing</v>
      </c>
      <c r="C19" s="250"/>
      <c r="D19" s="66" t="s">
        <v>181</v>
      </c>
      <c r="E19" s="6"/>
    </row>
    <row r="20" spans="1:5" x14ac:dyDescent="0.25">
      <c r="A20" s="5"/>
      <c r="B20" s="240" t="str">
        <f>+Input!B22</f>
        <v>Other</v>
      </c>
      <c r="C20" s="250"/>
      <c r="D20" s="66" t="s">
        <v>155</v>
      </c>
      <c r="E20" s="6"/>
    </row>
    <row r="21" spans="1:5" ht="26" x14ac:dyDescent="0.25">
      <c r="A21" s="5"/>
      <c r="B21" s="264" t="str">
        <f>+Input!B23</f>
        <v>Total Variable Costs</v>
      </c>
      <c r="C21" s="251"/>
      <c r="D21" s="66" t="s">
        <v>156</v>
      </c>
      <c r="E21" s="6"/>
    </row>
    <row r="22" spans="1:5" ht="25.5" customHeight="1" x14ac:dyDescent="0.25">
      <c r="A22" s="5"/>
      <c r="B22" s="259" t="str">
        <f>+Input!B24</f>
        <v>Fixed Costs</v>
      </c>
      <c r="C22" s="252"/>
      <c r="D22" s="66" t="s">
        <v>157</v>
      </c>
      <c r="E22" s="6"/>
    </row>
    <row r="23" spans="1:5" ht="37.5" x14ac:dyDescent="0.25">
      <c r="A23" s="5"/>
      <c r="B23" s="240" t="str">
        <f>+Input!B25</f>
        <v>Location</v>
      </c>
      <c r="C23" s="249"/>
      <c r="D23" s="66" t="s">
        <v>158</v>
      </c>
      <c r="E23" s="6"/>
    </row>
    <row r="24" spans="1:5" ht="25" x14ac:dyDescent="0.25">
      <c r="A24" s="5"/>
      <c r="B24" s="240" t="str">
        <f>+Input!B26</f>
        <v>Administration</v>
      </c>
      <c r="C24" s="250"/>
      <c r="D24" s="66" t="s">
        <v>159</v>
      </c>
      <c r="E24" s="6"/>
    </row>
    <row r="25" spans="1:5" ht="37.5" x14ac:dyDescent="0.25">
      <c r="A25" s="5"/>
      <c r="B25" s="240" t="str">
        <f>+Input!B27</f>
        <v>Labor excluding Owner</v>
      </c>
      <c r="C25" s="250"/>
      <c r="D25" s="66" t="s">
        <v>160</v>
      </c>
      <c r="E25" s="6"/>
    </row>
    <row r="26" spans="1:5" ht="50" x14ac:dyDescent="0.25">
      <c r="A26" s="5"/>
      <c r="B26" s="240" t="str">
        <f>+Input!B28</f>
        <v>Labor Owner</v>
      </c>
      <c r="C26" s="250"/>
      <c r="D26" s="66" t="s">
        <v>163</v>
      </c>
      <c r="E26" s="6"/>
    </row>
    <row r="27" spans="1:5" ht="62.5" x14ac:dyDescent="0.25">
      <c r="A27" s="5"/>
      <c r="B27" s="240" t="str">
        <f>+Input!B29</f>
        <v>Interest Costs</v>
      </c>
      <c r="C27" s="250"/>
      <c r="D27" s="66" t="s">
        <v>164</v>
      </c>
      <c r="E27" s="6"/>
    </row>
    <row r="28" spans="1:5" x14ac:dyDescent="0.25">
      <c r="A28" s="5"/>
      <c r="B28" s="240" t="str">
        <f>+Input!B30</f>
        <v>Other</v>
      </c>
      <c r="C28" s="250"/>
      <c r="D28" s="66" t="s">
        <v>165</v>
      </c>
      <c r="E28" s="6"/>
    </row>
    <row r="29" spans="1:5" ht="25" x14ac:dyDescent="0.25">
      <c r="A29" s="5"/>
      <c r="B29" s="264" t="str">
        <f>+Input!B31</f>
        <v>Total Fixed Costs</v>
      </c>
      <c r="C29" s="253"/>
      <c r="D29" s="66" t="s">
        <v>166</v>
      </c>
      <c r="E29" s="6"/>
    </row>
    <row r="30" spans="1:5" ht="62.5" x14ac:dyDescent="0.25">
      <c r="A30" s="5"/>
      <c r="B30" s="264" t="str">
        <f>+Input!B32</f>
        <v>Operating Surplus</v>
      </c>
      <c r="C30" s="254"/>
      <c r="D30" s="104" t="s">
        <v>167</v>
      </c>
      <c r="E30" s="6"/>
    </row>
    <row r="31" spans="1:5" ht="37.5" x14ac:dyDescent="0.25">
      <c r="A31" s="5"/>
      <c r="B31" s="265" t="str">
        <f>+Input!B33</f>
        <v>Owner Cash Flow</v>
      </c>
      <c r="C31" s="255"/>
      <c r="D31" s="270" t="s">
        <v>110</v>
      </c>
      <c r="E31" s="6"/>
    </row>
    <row r="32" spans="1:5" ht="100" x14ac:dyDescent="0.25">
      <c r="A32" s="5"/>
      <c r="B32" s="259" t="str">
        <f>+Input!B36</f>
        <v>Forecast Data</v>
      </c>
      <c r="C32" s="256"/>
      <c r="D32" s="66" t="s">
        <v>111</v>
      </c>
      <c r="E32" s="6"/>
    </row>
    <row r="33" spans="1:5" ht="50" x14ac:dyDescent="0.25">
      <c r="A33" s="5"/>
      <c r="B33" s="241" t="str">
        <f>+Input!B38</f>
        <v>Relative Indicator</v>
      </c>
      <c r="C33" s="256"/>
      <c r="D33" s="66" t="s">
        <v>112</v>
      </c>
      <c r="E33" s="6"/>
    </row>
    <row r="34" spans="1:5" ht="50" x14ac:dyDescent="0.25">
      <c r="A34" s="5"/>
      <c r="B34" s="240" t="str">
        <f>+Input!B39</f>
        <v>Level of Competition</v>
      </c>
      <c r="C34" s="242"/>
      <c r="D34" s="66" t="s">
        <v>97</v>
      </c>
      <c r="E34" s="6"/>
    </row>
    <row r="35" spans="1:5" ht="62.5" x14ac:dyDescent="0.25">
      <c r="A35" s="5"/>
      <c r="B35" s="240" t="str">
        <f>+Input!B40</f>
        <v>Market Strength</v>
      </c>
      <c r="C35" s="242"/>
      <c r="D35" s="66" t="s">
        <v>113</v>
      </c>
      <c r="E35" s="6"/>
    </row>
    <row r="36" spans="1:5" ht="62.5" x14ac:dyDescent="0.25">
      <c r="A36" s="5"/>
      <c r="B36" s="240" t="str">
        <f>+Input!B41</f>
        <v>Materials &amp; Supplies Costs</v>
      </c>
      <c r="C36" s="242"/>
      <c r="D36" s="66" t="s">
        <v>168</v>
      </c>
      <c r="E36" s="6"/>
    </row>
    <row r="37" spans="1:5" ht="62.5" x14ac:dyDescent="0.25">
      <c r="A37" s="5"/>
      <c r="B37" s="240" t="str">
        <f>+Input!B42</f>
        <v>Labor Costs</v>
      </c>
      <c r="C37" s="242"/>
      <c r="D37" s="66" t="s">
        <v>169</v>
      </c>
      <c r="E37" s="6"/>
    </row>
    <row r="38" spans="1:5" ht="62.5" x14ac:dyDescent="0.25">
      <c r="A38" s="5"/>
      <c r="B38" s="240" t="str">
        <f>+Input!B43</f>
        <v>Interest Rates</v>
      </c>
      <c r="C38" s="242"/>
      <c r="D38" s="66" t="s">
        <v>170</v>
      </c>
      <c r="E38" s="6"/>
    </row>
    <row r="39" spans="1:5" ht="100" x14ac:dyDescent="0.25">
      <c r="A39" s="5"/>
      <c r="B39" s="240" t="str">
        <f>+Input!B44</f>
        <v>Business Market Position</v>
      </c>
      <c r="C39" s="242"/>
      <c r="D39" s="66" t="s">
        <v>182</v>
      </c>
      <c r="E39" s="6"/>
    </row>
    <row r="40" spans="1:5" ht="112.5" x14ac:dyDescent="0.25">
      <c r="A40" s="5"/>
      <c r="B40" s="240" t="str">
        <f>+Input!B45</f>
        <v>Variable Costs Efficiency</v>
      </c>
      <c r="C40" s="242"/>
      <c r="D40" s="66" t="s">
        <v>183</v>
      </c>
      <c r="E40" s="6"/>
    </row>
    <row r="41" spans="1:5" ht="112.5" x14ac:dyDescent="0.25">
      <c r="A41" s="5"/>
      <c r="B41" s="240" t="str">
        <f>+Input!B46</f>
        <v>Fixed Costs Efficiency</v>
      </c>
      <c r="C41" s="242"/>
      <c r="D41" s="66" t="s">
        <v>172</v>
      </c>
      <c r="E41" s="6"/>
    </row>
    <row r="42" spans="1:5" ht="100" x14ac:dyDescent="0.25">
      <c r="A42" s="5"/>
      <c r="B42" s="305" t="str">
        <f>+Input!B48</f>
        <v>Fixed Costs Flow-on</v>
      </c>
      <c r="C42" s="242"/>
      <c r="D42" s="270" t="s">
        <v>184</v>
      </c>
      <c r="E42" s="6"/>
    </row>
    <row r="43" spans="1:5" ht="75" x14ac:dyDescent="0.25">
      <c r="A43" s="5"/>
      <c r="B43" s="261" t="str">
        <f>+Input!B51</f>
        <v>Valuation Data</v>
      </c>
      <c r="C43" s="256"/>
      <c r="D43" s="104" t="s">
        <v>114</v>
      </c>
      <c r="E43" s="6"/>
    </row>
    <row r="44" spans="1:5" ht="50" x14ac:dyDescent="0.25">
      <c r="A44" s="5"/>
      <c r="B44" s="240" t="str">
        <f>+Input!B53</f>
        <v>Owners Time Commitment to Business</v>
      </c>
      <c r="C44" s="243"/>
      <c r="D44" s="104" t="s">
        <v>177</v>
      </c>
      <c r="E44" s="6"/>
    </row>
    <row r="45" spans="1:5" ht="50" x14ac:dyDescent="0.25">
      <c r="A45" s="5"/>
      <c r="B45" s="240" t="str">
        <f>+Input!B54</f>
        <v>Owners External Earning Power</v>
      </c>
      <c r="C45" s="242"/>
      <c r="D45" s="66" t="s">
        <v>115</v>
      </c>
      <c r="E45" s="6"/>
    </row>
    <row r="46" spans="1:5" ht="25" x14ac:dyDescent="0.25">
      <c r="A46" s="5"/>
      <c r="B46" s="240" t="str">
        <f>+Input!B55</f>
        <v>Replacement Value of Business Assets</v>
      </c>
      <c r="C46" s="243"/>
      <c r="D46" s="66" t="s">
        <v>116</v>
      </c>
      <c r="E46" s="6"/>
    </row>
    <row r="47" spans="1:5" ht="37.5" x14ac:dyDescent="0.25">
      <c r="A47" s="5"/>
      <c r="B47" s="240" t="str">
        <f>+Input!B56</f>
        <v>Life of Assets (years)</v>
      </c>
      <c r="C47" s="243"/>
      <c r="D47" s="66" t="s">
        <v>252</v>
      </c>
      <c r="E47" s="6"/>
    </row>
    <row r="48" spans="1:5" ht="37.5" x14ac:dyDescent="0.25">
      <c r="A48" s="5"/>
      <c r="B48" s="240" t="str">
        <f>+Input!B57</f>
        <v>Market Value of Property</v>
      </c>
      <c r="C48" s="243"/>
      <c r="D48" s="66" t="s">
        <v>12</v>
      </c>
      <c r="E48" s="6"/>
    </row>
    <row r="49" spans="1:5" ht="37.5" x14ac:dyDescent="0.25">
      <c r="A49" s="5"/>
      <c r="B49" s="240" t="str">
        <f>+Input!B58</f>
        <v>Other Investment in Business</v>
      </c>
      <c r="C49" s="244"/>
      <c r="D49" s="66" t="s">
        <v>161</v>
      </c>
      <c r="E49" s="6"/>
    </row>
    <row r="50" spans="1:5" ht="37.5" x14ac:dyDescent="0.25">
      <c r="A50" s="5"/>
      <c r="B50" s="264" t="str">
        <f>+Input!B59</f>
        <v>Total Investment</v>
      </c>
      <c r="C50" s="244"/>
      <c r="D50" s="66" t="s">
        <v>162</v>
      </c>
      <c r="E50" s="6"/>
    </row>
    <row r="51" spans="1:5" ht="87.5" x14ac:dyDescent="0.25">
      <c r="A51" s="5"/>
      <c r="B51" s="240" t="str">
        <f>+Input!B60</f>
        <v>Financed Amount</v>
      </c>
      <c r="C51" s="242"/>
      <c r="D51" s="66" t="s">
        <v>117</v>
      </c>
      <c r="E51" s="6"/>
    </row>
    <row r="52" spans="1:5" ht="13" x14ac:dyDescent="0.25">
      <c r="A52" s="5"/>
      <c r="B52" s="265" t="str">
        <f>+Input!B61</f>
        <v>Equity Investment</v>
      </c>
      <c r="C52" s="255"/>
      <c r="D52" s="270" t="s">
        <v>14</v>
      </c>
      <c r="E52" s="6"/>
    </row>
    <row r="53" spans="1:5" ht="25" x14ac:dyDescent="0.25">
      <c r="A53" s="5"/>
      <c r="B53" s="259" t="str">
        <f>+Input!B67</f>
        <v>Sensitivity Analysis</v>
      </c>
      <c r="C53" s="256"/>
      <c r="D53" s="66" t="s">
        <v>118</v>
      </c>
      <c r="E53" s="6"/>
    </row>
    <row r="54" spans="1:5" ht="25" x14ac:dyDescent="0.25">
      <c r="A54" s="5"/>
      <c r="B54" s="266" t="s">
        <v>119</v>
      </c>
      <c r="C54" s="242"/>
      <c r="D54" s="66" t="s">
        <v>136</v>
      </c>
      <c r="E54" s="6"/>
    </row>
    <row r="55" spans="1:5" ht="25" x14ac:dyDescent="0.25">
      <c r="A55" s="5"/>
      <c r="B55" s="266" t="s">
        <v>137</v>
      </c>
      <c r="C55" s="242"/>
      <c r="D55" s="66" t="s">
        <v>138</v>
      </c>
      <c r="E55" s="6"/>
    </row>
    <row r="56" spans="1:5" x14ac:dyDescent="0.25">
      <c r="A56" s="5"/>
      <c r="B56" s="240" t="str">
        <f>+'Sensitivity Analysis'!B10</f>
        <v>Business Revenue</v>
      </c>
      <c r="C56" s="244"/>
      <c r="D56" s="66" t="s">
        <v>120</v>
      </c>
      <c r="E56" s="6"/>
    </row>
    <row r="57" spans="1:5" x14ac:dyDescent="0.25">
      <c r="A57" s="5"/>
      <c r="B57" s="240" t="str">
        <f>+'Sensitivity Analysis'!B11</f>
        <v>Optimistic</v>
      </c>
      <c r="C57" s="244"/>
      <c r="D57" s="66" t="s">
        <v>139</v>
      </c>
      <c r="E57" s="6"/>
    </row>
    <row r="58" spans="1:5" x14ac:dyDescent="0.25">
      <c r="A58" s="5"/>
      <c r="B58" s="240" t="str">
        <f>+'Sensitivity Analysis'!B12</f>
        <v>Expected</v>
      </c>
      <c r="C58" s="244"/>
      <c r="D58" s="66" t="s">
        <v>121</v>
      </c>
      <c r="E58" s="6"/>
    </row>
    <row r="59" spans="1:5" x14ac:dyDescent="0.25">
      <c r="A59" s="5"/>
      <c r="B59" s="240" t="str">
        <f>+'Sensitivity Analysis'!B13</f>
        <v>Pessimistic</v>
      </c>
      <c r="C59" s="244"/>
      <c r="D59" s="66" t="s">
        <v>140</v>
      </c>
      <c r="E59" s="6"/>
    </row>
    <row r="60" spans="1:5" ht="25" x14ac:dyDescent="0.25">
      <c r="A60" s="5"/>
      <c r="B60" s="240" t="str">
        <f>+'Sensitivity Analysis'!B14</f>
        <v>Operating Surplus</v>
      </c>
      <c r="C60" s="257"/>
      <c r="D60" s="66" t="s">
        <v>178</v>
      </c>
      <c r="E60" s="6"/>
    </row>
    <row r="61" spans="1:5" x14ac:dyDescent="0.25">
      <c r="A61" s="5"/>
      <c r="B61" s="240" t="str">
        <f>+'Sensitivity Analysis'!B18</f>
        <v>Owner Cash Flow</v>
      </c>
      <c r="C61" s="257"/>
      <c r="D61" s="66" t="s">
        <v>122</v>
      </c>
      <c r="E61" s="6"/>
    </row>
    <row r="62" spans="1:5" ht="87.5" x14ac:dyDescent="0.25">
      <c r="A62" s="5"/>
      <c r="B62" s="267" t="str">
        <f>+'Sensitivity Analysis'!B22</f>
        <v>Business Return</v>
      </c>
      <c r="C62" s="257"/>
      <c r="D62" s="270" t="s">
        <v>103</v>
      </c>
      <c r="E62" s="6"/>
    </row>
    <row r="63" spans="1:5" ht="25" x14ac:dyDescent="0.25">
      <c r="A63" s="5"/>
      <c r="B63" s="261" t="str">
        <f>+Input!B68</f>
        <v>Valuation Analysis</v>
      </c>
      <c r="C63" s="248"/>
      <c r="D63" s="66" t="s">
        <v>123</v>
      </c>
      <c r="E63" s="6"/>
    </row>
    <row r="64" spans="1:5" ht="62.5" x14ac:dyDescent="0.25">
      <c r="A64" s="5"/>
      <c r="B64" s="266" t="str">
        <f>+'Valuation Analysis'!B18</f>
        <v>% Return on Total Investment</v>
      </c>
      <c r="C64" s="257"/>
      <c r="D64" s="66" t="s">
        <v>124</v>
      </c>
      <c r="E64" s="6"/>
    </row>
    <row r="65" spans="1:5" ht="62.5" x14ac:dyDescent="0.25">
      <c r="A65" s="5"/>
      <c r="B65" s="260" t="s">
        <v>127</v>
      </c>
      <c r="C65" s="249"/>
      <c r="D65" s="66" t="s">
        <v>124</v>
      </c>
      <c r="E65" s="6"/>
    </row>
    <row r="66" spans="1:5" ht="50" x14ac:dyDescent="0.25">
      <c r="A66" s="5"/>
      <c r="B66" s="263" t="s">
        <v>125</v>
      </c>
      <c r="C66" s="17"/>
      <c r="D66" s="271" t="s">
        <v>143</v>
      </c>
      <c r="E66" s="6"/>
    </row>
    <row r="67" spans="1:5" ht="37.5" x14ac:dyDescent="0.25">
      <c r="A67" s="5"/>
      <c r="B67" s="12" t="s">
        <v>126</v>
      </c>
      <c r="C67" s="17"/>
      <c r="D67" s="271" t="s">
        <v>128</v>
      </c>
      <c r="E67" s="6"/>
    </row>
    <row r="68" spans="1:5" ht="37.5" customHeight="1" x14ac:dyDescent="0.25">
      <c r="A68" s="5"/>
      <c r="B68" s="12" t="s">
        <v>144</v>
      </c>
      <c r="C68" s="17"/>
      <c r="D68" s="271" t="s">
        <v>145</v>
      </c>
      <c r="E68" s="6"/>
    </row>
    <row r="69" spans="1:5" ht="13" hidden="1" x14ac:dyDescent="0.25">
      <c r="A69" s="5"/>
      <c r="B69" s="16"/>
      <c r="C69" s="18"/>
      <c r="D69" s="271"/>
      <c r="E69" s="6"/>
    </row>
    <row r="70" spans="1:5" ht="13" x14ac:dyDescent="0.25">
      <c r="A70" s="5"/>
      <c r="B70" s="469" t="s">
        <v>105</v>
      </c>
      <c r="C70" s="470"/>
      <c r="D70" s="471"/>
      <c r="E70" s="6"/>
    </row>
    <row r="71" spans="1:5" ht="25.5" customHeight="1" x14ac:dyDescent="0.25">
      <c r="A71" s="5"/>
      <c r="B71" s="478" t="s">
        <v>213</v>
      </c>
      <c r="C71" s="418"/>
      <c r="D71" s="419"/>
      <c r="E71" s="6"/>
    </row>
    <row r="72" spans="1:5" ht="25" x14ac:dyDescent="0.25">
      <c r="A72" s="5"/>
      <c r="B72" s="108" t="str">
        <f>+Input!B67</f>
        <v>Sensitivity Analysis</v>
      </c>
      <c r="C72" s="17"/>
      <c r="D72" s="271" t="s">
        <v>118</v>
      </c>
      <c r="E72" s="6"/>
    </row>
    <row r="73" spans="1:5" ht="25" x14ac:dyDescent="0.25">
      <c r="A73" s="5"/>
      <c r="B73" s="108" t="str">
        <f>+Input!B68</f>
        <v>Valuation Analysis</v>
      </c>
      <c r="C73" s="17"/>
      <c r="D73" s="271" t="s">
        <v>123</v>
      </c>
      <c r="E73" s="6"/>
    </row>
    <row r="74" spans="1:5" ht="13" x14ac:dyDescent="0.25">
      <c r="A74" s="5"/>
      <c r="B74" s="108" t="str">
        <f>+Input!B69</f>
        <v>Expected Results</v>
      </c>
      <c r="C74" s="17"/>
      <c r="D74" s="271" t="s">
        <v>129</v>
      </c>
      <c r="E74" s="6"/>
    </row>
    <row r="75" spans="1:5" ht="13" x14ac:dyDescent="0.25">
      <c r="A75" s="5"/>
      <c r="B75" s="108" t="str">
        <f>+Input!B70</f>
        <v>Optimistic Results</v>
      </c>
      <c r="C75" s="17"/>
      <c r="D75" s="271" t="s">
        <v>130</v>
      </c>
      <c r="E75" s="6"/>
    </row>
    <row r="76" spans="1:5" ht="12.75" customHeight="1" x14ac:dyDescent="0.25">
      <c r="A76" s="5"/>
      <c r="B76" s="108" t="str">
        <f>+Input!B71</f>
        <v>Pessimistic Results</v>
      </c>
      <c r="C76" s="17"/>
      <c r="D76" s="271" t="s">
        <v>131</v>
      </c>
      <c r="E76" s="6"/>
    </row>
    <row r="77" spans="1:5" ht="25" x14ac:dyDescent="0.25">
      <c r="A77" s="5"/>
      <c r="B77" s="108" t="str">
        <f>+Input!B72</f>
        <v>Forecast Revenue Chart</v>
      </c>
      <c r="C77" s="17"/>
      <c r="D77" s="271" t="s">
        <v>132</v>
      </c>
      <c r="E77" s="6"/>
    </row>
    <row r="78" spans="1:5" ht="25" x14ac:dyDescent="0.25">
      <c r="A78" s="5"/>
      <c r="B78" s="108" t="str">
        <f>+Input!B73</f>
        <v>Forecast Return Chart</v>
      </c>
      <c r="C78" s="17"/>
      <c r="D78" s="271" t="s">
        <v>133</v>
      </c>
      <c r="E78" s="6"/>
    </row>
    <row r="79" spans="1:5" ht="25" x14ac:dyDescent="0.25">
      <c r="A79" s="5"/>
      <c r="B79" s="108" t="str">
        <f>+Input!B74</f>
        <v>Operating Surplus Chart</v>
      </c>
      <c r="C79" s="17"/>
      <c r="D79" s="271" t="s">
        <v>179</v>
      </c>
      <c r="E79" s="6"/>
    </row>
    <row r="80" spans="1:5" ht="25" x14ac:dyDescent="0.25">
      <c r="A80" s="5"/>
      <c r="B80" s="108" t="str">
        <f>+Input!B75</f>
        <v>Surplus &amp; Return Chart</v>
      </c>
      <c r="C80" s="18"/>
      <c r="D80" s="271" t="s">
        <v>134</v>
      </c>
      <c r="E80" s="6"/>
    </row>
    <row r="81" spans="1:5" x14ac:dyDescent="0.25">
      <c r="A81" s="5"/>
      <c r="B81" s="423" t="str">
        <f>copy</f>
        <v>© bizpep.com</v>
      </c>
      <c r="C81" s="435"/>
      <c r="D81" s="436"/>
      <c r="E81" s="6"/>
    </row>
    <row r="82" spans="1:5" ht="18" x14ac:dyDescent="0.25">
      <c r="A82" s="5"/>
      <c r="B82" s="401"/>
      <c r="C82" s="401"/>
      <c r="D82" s="401"/>
      <c r="E82" s="6"/>
    </row>
    <row r="83" spans="1:5" ht="18" x14ac:dyDescent="0.25">
      <c r="A83" s="5"/>
      <c r="B83" s="465"/>
      <c r="C83" s="465"/>
      <c r="D83" s="465"/>
      <c r="E83" s="6"/>
    </row>
    <row r="84" spans="1:5" ht="18" x14ac:dyDescent="0.25">
      <c r="A84" s="5"/>
      <c r="B84" s="466"/>
      <c r="C84" s="466"/>
      <c r="D84" s="466"/>
      <c r="E84" s="5"/>
    </row>
    <row r="85" spans="1:5" ht="18" x14ac:dyDescent="0.25">
      <c r="A85" s="5"/>
      <c r="B85" s="465"/>
      <c r="C85" s="465"/>
      <c r="D85" s="465"/>
      <c r="E85" s="5"/>
    </row>
    <row r="86" spans="1:5" ht="18" x14ac:dyDescent="0.25">
      <c r="A86" s="5"/>
      <c r="B86" s="467"/>
      <c r="C86" s="467"/>
      <c r="D86" s="467"/>
      <c r="E86" s="5"/>
    </row>
    <row r="87" spans="1:5" ht="18" x14ac:dyDescent="0.25">
      <c r="A87" s="5"/>
      <c r="B87" s="468"/>
      <c r="C87" s="468"/>
      <c r="D87" s="468"/>
      <c r="E87" s="5"/>
    </row>
    <row r="88" spans="1:5" ht="18" x14ac:dyDescent="0.25">
      <c r="A88" s="5"/>
      <c r="B88" s="463"/>
      <c r="C88" s="463"/>
      <c r="D88" s="463"/>
      <c r="E88" s="5"/>
    </row>
    <row r="89" spans="1:5" x14ac:dyDescent="0.25">
      <c r="A89" s="5"/>
      <c r="B89" s="464"/>
      <c r="C89" s="464"/>
      <c r="D89" s="464"/>
      <c r="E89" s="5"/>
    </row>
    <row r="90" spans="1:5" x14ac:dyDescent="0.25">
      <c r="A90" s="5"/>
      <c r="B90" s="7"/>
      <c r="C90" s="6"/>
      <c r="D90" s="275"/>
      <c r="E90" s="5"/>
    </row>
  </sheetData>
  <sheetProtection algorithmName="SHA-512" hashValue="mChFTv39UEzY1FjGS8HCvE+B0T9wlv9OhPUEfdkJwUTnpaTK4bDxASG5r0W26cTTsy2z9JOahN0ZNd39zGRIgw==" saltValue="KULmlVTegkniTFkgkfQaaA==" spinCount="100000" sheet="1" formatColumns="0" formatRows="0"/>
  <mergeCells count="15">
    <mergeCell ref="B2:D2"/>
    <mergeCell ref="B81:D81"/>
    <mergeCell ref="B8:D8"/>
    <mergeCell ref="B3:D3"/>
    <mergeCell ref="B70:D70"/>
    <mergeCell ref="B9:D9"/>
    <mergeCell ref="B71:D71"/>
    <mergeCell ref="B88:D88"/>
    <mergeCell ref="B89:D89"/>
    <mergeCell ref="B82:D82"/>
    <mergeCell ref="B83:D83"/>
    <mergeCell ref="B84:D84"/>
    <mergeCell ref="B85:D85"/>
    <mergeCell ref="B86:D86"/>
    <mergeCell ref="B87:D87"/>
  </mergeCells>
  <phoneticPr fontId="0" type="noConversion"/>
  <hyperlinks>
    <hyperlink ref="D7" r:id="rId1" xr:uid="{00000000-0004-0000-0B00-000000000000}"/>
    <hyperlink ref="B72" location="Input!B66" tooltip="Go to Output" display="Input!B66" xr:uid="{00000000-0004-0000-0B00-000001000000}"/>
    <hyperlink ref="B8:D8" location="Input!B5" tooltip="Go to Input" display="Input" xr:uid="{00000000-0004-0000-0B00-000002000000}"/>
    <hyperlink ref="B70:D70" location="Input!D63" tooltip="Go to Output" display="Output Sheets" xr:uid="{00000000-0004-0000-0B00-000003000000}"/>
    <hyperlink ref="B10" location="Input!C9" tooltip="Go to Input" display="Current Performance" xr:uid="{00000000-0004-0000-0B00-000004000000}"/>
    <hyperlink ref="B12" location="Input!C13" tooltip="Go to Input" display="Input!C13" xr:uid="{00000000-0004-0000-0B00-000005000000}"/>
    <hyperlink ref="B14" location="Input!C16" tooltip="Go To Input" display="Cost of Sales" xr:uid="{00000000-0004-0000-0B00-000006000000}"/>
    <hyperlink ref="B15" location="Input!C17" tooltip="Go to Input" display="Materials &amp; Supplies" xr:uid="{00000000-0004-0000-0B00-000007000000}"/>
    <hyperlink ref="B13" location="Input!C15" tooltip="Go to Input" display="Expenses" xr:uid="{00000000-0004-0000-0B00-000008000000}"/>
    <hyperlink ref="B11" location="Input!C11" tooltip="Go to Input" display="Input!C11" xr:uid="{00000000-0004-0000-0B00-000009000000}"/>
    <hyperlink ref="B16" location="Input!C18" tooltip="Go to Input" display="Input!C18" xr:uid="{00000000-0004-0000-0B00-00000A000000}"/>
    <hyperlink ref="B17" location="Input!C19" tooltip="Go to Input" display="Input!C19" xr:uid="{00000000-0004-0000-0B00-00000B000000}"/>
    <hyperlink ref="B18" location="Input!C20" tooltip="Go to Input" display="Input!C20" xr:uid="{00000000-0004-0000-0B00-00000C000000}"/>
    <hyperlink ref="B19" location="Input!C21" tooltip="Go to Input" display="Input!C21" xr:uid="{00000000-0004-0000-0B00-00000D000000}"/>
    <hyperlink ref="B20" location="Input!C22" tooltip="Go to Input" display="Input!C22" xr:uid="{00000000-0004-0000-0B00-00000E000000}"/>
    <hyperlink ref="B21" location="Input!C23" tooltip="Go to Input" display="Input!C23" xr:uid="{00000000-0004-0000-0B00-00000F000000}"/>
    <hyperlink ref="B22:B31" location="Input!C23" display="Input!C23" xr:uid="{00000000-0004-0000-0B00-000010000000}"/>
    <hyperlink ref="B22" location="Input!C24" tooltip="Go to Input" display="Input!C24" xr:uid="{00000000-0004-0000-0B00-000011000000}"/>
    <hyperlink ref="B23" location="Input!C25" tooltip="Go to Input" display="Input!C25" xr:uid="{00000000-0004-0000-0B00-000012000000}"/>
    <hyperlink ref="B24" location="Input!C26" tooltip="Go to Input" display="Input!C26" xr:uid="{00000000-0004-0000-0B00-000013000000}"/>
    <hyperlink ref="B25" location="Input!C27" tooltip="Go to Input" display="Input!C27" xr:uid="{00000000-0004-0000-0B00-000014000000}"/>
    <hyperlink ref="B26" location="Input!C28" tooltip="Go to Input" display="Input!C28" xr:uid="{00000000-0004-0000-0B00-000015000000}"/>
    <hyperlink ref="B27" location="Input!C29" tooltip="Go to Input" display="Input!C29" xr:uid="{00000000-0004-0000-0B00-000016000000}"/>
    <hyperlink ref="B28" location="Input!C30" tooltip="Go to Input" display="Input!C30" xr:uid="{00000000-0004-0000-0B00-000017000000}"/>
    <hyperlink ref="B29" location="Input!C31" tooltip="Go to Input" display="Input!C31" xr:uid="{00000000-0004-0000-0B00-000018000000}"/>
    <hyperlink ref="B30" location="Input!C32" tooltip="Go to Input" display="Input!C32" xr:uid="{00000000-0004-0000-0B00-000019000000}"/>
    <hyperlink ref="B31" location="Input!C33" tooltip="Go to Input" display="Input!C33" xr:uid="{00000000-0004-0000-0B00-00001A000000}"/>
    <hyperlink ref="B32" location="Input!C36" tooltip="Go to Input" display="Input!C36" xr:uid="{00000000-0004-0000-0B00-00001B000000}"/>
    <hyperlink ref="B33" location="Input!C38" tooltip="Go to Input" display="Input!C38" xr:uid="{00000000-0004-0000-0B00-00001C000000}"/>
    <hyperlink ref="B34" location="Input!C39" tooltip="Go to Input" display="Input!C39" xr:uid="{00000000-0004-0000-0B00-00001D000000}"/>
    <hyperlink ref="B35" location="Input!C40" tooltip="Go to Input" display="Input!C40" xr:uid="{00000000-0004-0000-0B00-00001E000000}"/>
    <hyperlink ref="B36" location="Input!C41" tooltip="Go to Input" display="Input!C41" xr:uid="{00000000-0004-0000-0B00-00001F000000}"/>
    <hyperlink ref="B37" location="Input!C42" tooltip="Go to Input" display="Input!C42" xr:uid="{00000000-0004-0000-0B00-000020000000}"/>
    <hyperlink ref="B38" location="Input!C43" tooltip="Go to Input" display="Input!C43" xr:uid="{00000000-0004-0000-0B00-000021000000}"/>
    <hyperlink ref="B39" location="Input!C44" tooltip="Go to Input" display="Input!C44" xr:uid="{00000000-0004-0000-0B00-000022000000}"/>
    <hyperlink ref="B40" location="Input!C45" tooltip="Go to Input" display="Input!C45" xr:uid="{00000000-0004-0000-0B00-000023000000}"/>
    <hyperlink ref="B41" location="Input!C46" tooltip="Go to Input" display="Input!C46" xr:uid="{00000000-0004-0000-0B00-000024000000}"/>
    <hyperlink ref="B42" location="Input!C48" tooltip="Go to Input" display="Overhead Flow-on" xr:uid="{00000000-0004-0000-0B00-000025000000}"/>
    <hyperlink ref="B43" location="Input!C51" tooltip="Go to Input" display="Input!C51" xr:uid="{00000000-0004-0000-0B00-000026000000}"/>
    <hyperlink ref="B44" location="Input!C53" tooltip="Go to Input" display="Input!C53" xr:uid="{00000000-0004-0000-0B00-000027000000}"/>
    <hyperlink ref="B45" location="Input!C54" tooltip="Go to Input" display="Input!C54" xr:uid="{00000000-0004-0000-0B00-000028000000}"/>
    <hyperlink ref="B46" location="Input!C55" tooltip="Go to Input" display="Input!C55" xr:uid="{00000000-0004-0000-0B00-000029000000}"/>
    <hyperlink ref="B47" location="Input!C56" tooltip="Go to Input" display="Input!C56" xr:uid="{00000000-0004-0000-0B00-00002A000000}"/>
    <hyperlink ref="B48" location="Input!C57" tooltip="Go to Input" display="Input!C57" xr:uid="{00000000-0004-0000-0B00-00002B000000}"/>
    <hyperlink ref="B49" location="Input!C58" tooltip="Go to Input" display="Input!C58" xr:uid="{00000000-0004-0000-0B00-00002C000000}"/>
    <hyperlink ref="B50" location="Input!C59" tooltip="Go to Input" display="Input!C59" xr:uid="{00000000-0004-0000-0B00-00002D000000}"/>
    <hyperlink ref="B51" location="Input!C60" tooltip="Go to Input" display="Input!C60" xr:uid="{00000000-0004-0000-0B00-00002E000000}"/>
    <hyperlink ref="B52:B53" location="Input!C60" display="Input!C60" xr:uid="{00000000-0004-0000-0B00-00002F000000}"/>
    <hyperlink ref="B52" location="Input!C61" tooltip="Go to Input" display="Input!C61" xr:uid="{00000000-0004-0000-0B00-000030000000}"/>
    <hyperlink ref="B54" location="'Sensitivity Analysis'!E7" tooltip="Go to Sensitivity Analysis" display="Optimistic Input" xr:uid="{00000000-0004-0000-0B00-000031000000}"/>
    <hyperlink ref="B55" location="'Sensitivity Analysis'!E8" tooltip="Go to Sensitivity Analysis" display="Pesimistic Input" xr:uid="{00000000-0004-0000-0B00-000032000000}"/>
    <hyperlink ref="B56" location="'Sensitivity Analysis'!B10" tooltip="Go to Sensitivity Analysis" display="'Sensitivity Analysis'!B10" xr:uid="{00000000-0004-0000-0B00-000033000000}"/>
    <hyperlink ref="B57:B59" location="'Sensitivity Analysis'!B10" display="'Sensitivity Analysis'!B10" xr:uid="{00000000-0004-0000-0B00-000034000000}"/>
    <hyperlink ref="B57" location="'Sensitivity Analysis'!B11" tooltip="Go to Sensitivity Analysis" display="'Sensitivity Analysis'!B11" xr:uid="{00000000-0004-0000-0B00-000035000000}"/>
    <hyperlink ref="B58" location="'Sensitivity Analysis'!B12" tooltip="Go to Sensitivity Analysis" display="'Sensitivity Analysis'!B12" xr:uid="{00000000-0004-0000-0B00-000036000000}"/>
    <hyperlink ref="B59" location="'Sensitivity Analysis'!B13" tooltip="Go to Sensitivity Analysis" display="'Sensitivity Analysis'!B13" xr:uid="{00000000-0004-0000-0B00-000037000000}"/>
    <hyperlink ref="B60" location="'Sensitivity Analysis'!B14" tooltip="Go to Sensitivity Analysis" display="'Sensitivity Analysis'!B14" xr:uid="{00000000-0004-0000-0B00-000038000000}"/>
    <hyperlink ref="B61" location="'Sensitivity Analysis'!B18" tooltip="Go to Sensitivity Analysis" display="'Sensitivity Analysis'!B18" xr:uid="{00000000-0004-0000-0B00-000039000000}"/>
    <hyperlink ref="B62" location="'Sensitivity Analysis'!B22" tooltip="Go to Sensitivity Analysis" display="'Sensitivity Analysis'!B22" xr:uid="{00000000-0004-0000-0B00-00003A000000}"/>
    <hyperlink ref="B63" location="'Valuation Analysis'!A1" tooltip="Go to Valuation Analysis" display="'Valuation Analysis'!A1" xr:uid="{00000000-0004-0000-0B00-00003B000000}"/>
    <hyperlink ref="B64" location="'Valuation Analysis'!B18" tooltip="Go to Valuation Analysis" display="'Valuation Analysis'!B18" xr:uid="{00000000-0004-0000-0B00-00003C000000}"/>
    <hyperlink ref="B65" location="'Valuation Analysis'!C24" tooltip="Go to Valuation Analysis" display="Required Return on Investment" xr:uid="{00000000-0004-0000-0B00-00003D000000}"/>
    <hyperlink ref="B53" location="'Sensitivity Analysis'!A1" tooltip="Go to Sensitivity Analysis" display="'Sensitivity Analysis'!A1" xr:uid="{00000000-0004-0000-0B00-00003E000000}"/>
    <hyperlink ref="B73:B80" location="Input!B66" tooltip="Go to Output" display="Input!B66" xr:uid="{00000000-0004-0000-0B00-00003F000000}"/>
    <hyperlink ref="B73" location="Input!B67" tooltip="Go to Output" display="Input!B67" xr:uid="{00000000-0004-0000-0B00-000040000000}"/>
    <hyperlink ref="B74" location="Input!B68" tooltip="Go to Output" display="Input!B68" xr:uid="{00000000-0004-0000-0B00-000041000000}"/>
    <hyperlink ref="B75" location="Input!B69" tooltip="Go to Output" display="Input!B69" xr:uid="{00000000-0004-0000-0B00-000042000000}"/>
    <hyperlink ref="B76" location="Input!B70" tooltip="Go to Output" display="Input!B70" xr:uid="{00000000-0004-0000-0B00-000043000000}"/>
    <hyperlink ref="B77" location="Input!B71" tooltip="Go to Output" display="Input!B71" xr:uid="{00000000-0004-0000-0B00-000044000000}"/>
    <hyperlink ref="B78" location="Input!B72" tooltip="Go to Output" display="Input!B72" xr:uid="{00000000-0004-0000-0B00-000045000000}"/>
    <hyperlink ref="B79" location="Input!B73" tooltip="Go to Output" display="Input!B73" xr:uid="{00000000-0004-0000-0B00-000046000000}"/>
    <hyperlink ref="B80" location="Input!B74" tooltip="Go to Output" display="Input!B74" xr:uid="{00000000-0004-0000-0B00-000047000000}"/>
    <hyperlink ref="B66" location="'Valuation Analysis'!C25" tooltip="Go to Valuation Analysis" display="Expected Valuation" xr:uid="{00000000-0004-0000-0B00-000048000000}"/>
    <hyperlink ref="B67" location="'Valuation Analysis'!C26" tooltip="Go to Valuation Analysis" display="Optimistic Valuation" xr:uid="{00000000-0004-0000-0B00-000049000000}"/>
    <hyperlink ref="B68" location="'Valuation Analysis'!C27" tooltip="Go to Valuation Analysis" display="Pesimistic Valuation" xr:uid="{00000000-0004-0000-0B00-00004A000000}"/>
  </hyperlinks>
  <printOptions horizontalCentered="1"/>
  <pageMargins left="0.74803149606299213" right="0.59055118110236227" top="0.98425196850393704" bottom="0.98425196850393704" header="0.51181102362204722" footer="0.51181102362204722"/>
  <pageSetup scale="91" fitToHeight="0" orientation="portrait" horizontalDpi="360" verticalDpi="4294967293"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W106"/>
  <sheetViews>
    <sheetView showGridLines="0" workbookViewId="0"/>
  </sheetViews>
  <sheetFormatPr defaultColWidth="9.1796875" defaultRowHeight="12.5" x14ac:dyDescent="0.25"/>
  <cols>
    <col min="1" max="1" width="2.26953125" style="4" customWidth="1"/>
    <col min="2" max="2" width="39.1796875" style="4" customWidth="1"/>
    <col min="3" max="7" width="12.7265625" style="4" customWidth="1"/>
    <col min="8" max="8" width="4.26953125" style="4" customWidth="1"/>
    <col min="9" max="9" width="2.26953125" style="4" customWidth="1"/>
    <col min="10" max="10" width="39.1796875" style="4" customWidth="1"/>
    <col min="11" max="15" width="12.7265625" style="4" customWidth="1"/>
    <col min="16" max="16" width="4.26953125" style="4" customWidth="1"/>
    <col min="17" max="17" width="39.1796875" style="4" customWidth="1"/>
    <col min="18" max="22" width="12.7265625" style="4" customWidth="1"/>
    <col min="23" max="23" width="4.26953125" style="4" customWidth="1"/>
    <col min="24" max="24" width="5.453125" style="4" customWidth="1"/>
    <col min="25" max="16384" width="9.1796875" style="4"/>
  </cols>
  <sheetData>
    <row r="1" spans="1:23" x14ac:dyDescent="0.25">
      <c r="A1" s="3"/>
      <c r="B1" s="3"/>
      <c r="C1" s="3"/>
      <c r="D1" s="3"/>
      <c r="E1" s="3"/>
      <c r="F1" s="3"/>
      <c r="G1" s="3"/>
      <c r="H1" s="3"/>
      <c r="I1" s="3"/>
      <c r="J1" s="3"/>
      <c r="K1" s="3"/>
      <c r="L1" s="3"/>
      <c r="M1" s="3"/>
      <c r="N1" s="3"/>
      <c r="O1" s="3"/>
      <c r="P1" s="3"/>
      <c r="Q1" s="3"/>
      <c r="R1" s="3"/>
      <c r="S1" s="3"/>
      <c r="T1" s="3"/>
      <c r="U1" s="3"/>
      <c r="V1" s="3"/>
      <c r="W1" s="3"/>
    </row>
    <row r="2" spans="1:23" ht="18" customHeight="1" x14ac:dyDescent="0.3">
      <c r="A2" s="3"/>
      <c r="B2" s="20" t="s">
        <v>48</v>
      </c>
      <c r="C2" s="21"/>
      <c r="D2" s="21"/>
      <c r="E2" s="21"/>
      <c r="F2" s="22"/>
      <c r="G2" s="23"/>
      <c r="H2" s="24"/>
      <c r="I2" s="3"/>
      <c r="J2" s="20" t="s">
        <v>194</v>
      </c>
      <c r="K2" s="215">
        <f>+'Sensitivity Analysis'!E7</f>
        <v>0.2</v>
      </c>
      <c r="L2" s="21"/>
      <c r="M2" s="21"/>
      <c r="N2" s="22"/>
      <c r="O2" s="23"/>
      <c r="P2" s="24"/>
      <c r="Q2" s="20" t="s">
        <v>195</v>
      </c>
      <c r="R2" s="215">
        <f>+'Sensitivity Analysis'!E8</f>
        <v>0.2</v>
      </c>
      <c r="S2" s="21"/>
      <c r="T2" s="21"/>
      <c r="U2" s="22"/>
      <c r="V2" s="23"/>
      <c r="W2" s="24"/>
    </row>
    <row r="3" spans="1:23" ht="18" customHeight="1" x14ac:dyDescent="0.3">
      <c r="A3" s="3"/>
      <c r="B3" s="150" t="str">
        <f>+Input!C11</f>
        <v>Example Business</v>
      </c>
      <c r="C3" s="21"/>
      <c r="D3" s="21"/>
      <c r="E3" s="21"/>
      <c r="F3" s="22"/>
      <c r="G3" s="23"/>
      <c r="H3" s="24"/>
      <c r="I3" s="3"/>
      <c r="J3" s="150" t="str">
        <f>+$B3</f>
        <v>Example Business</v>
      </c>
      <c r="K3" s="21"/>
      <c r="L3" s="21"/>
      <c r="M3" s="21"/>
      <c r="N3" s="22"/>
      <c r="O3" s="23"/>
      <c r="P3" s="24"/>
      <c r="Q3" s="150" t="str">
        <f>+$B3</f>
        <v>Example Business</v>
      </c>
      <c r="R3" s="21"/>
      <c r="S3" s="21"/>
      <c r="T3" s="21"/>
      <c r="U3" s="22"/>
      <c r="V3" s="23"/>
      <c r="W3" s="24"/>
    </row>
    <row r="4" spans="1:23" ht="26" x14ac:dyDescent="0.25">
      <c r="A4" s="3"/>
      <c r="B4" s="234" t="s">
        <v>65</v>
      </c>
      <c r="C4" s="44" t="str">
        <f>+C50</f>
        <v>Current Year</v>
      </c>
      <c r="D4" s="154" t="str">
        <f>+D50</f>
        <v>Year 1</v>
      </c>
      <c r="E4" s="154" t="str">
        <f>+E50</f>
        <v>Year 2</v>
      </c>
      <c r="F4" s="154" t="str">
        <f>+F50</f>
        <v>Year 3</v>
      </c>
      <c r="G4" s="44" t="str">
        <f>+G85</f>
        <v>3 Year Average</v>
      </c>
      <c r="H4" s="3"/>
      <c r="I4" s="3"/>
      <c r="J4" s="234" t="s">
        <v>90</v>
      </c>
      <c r="K4" s="44" t="str">
        <f>+K50</f>
        <v>Current Year</v>
      </c>
      <c r="L4" s="154" t="str">
        <f>+L50</f>
        <v>Year 1</v>
      </c>
      <c r="M4" s="154" t="str">
        <f>+M50</f>
        <v>Year 2</v>
      </c>
      <c r="N4" s="154" t="str">
        <f>+N50</f>
        <v>Year 3</v>
      </c>
      <c r="O4" s="44" t="str">
        <f>+O85</f>
        <v>3 Year Average</v>
      </c>
      <c r="P4" s="3"/>
      <c r="Q4" s="234" t="s">
        <v>42</v>
      </c>
      <c r="R4" s="44" t="str">
        <f>+R50</f>
        <v>Current Year</v>
      </c>
      <c r="S4" s="154" t="str">
        <f>+S50</f>
        <v>Year 1</v>
      </c>
      <c r="T4" s="154" t="str">
        <f>+T50</f>
        <v>Year 2</v>
      </c>
      <c r="U4" s="154" t="str">
        <f>+U50</f>
        <v>Year 3</v>
      </c>
      <c r="V4" s="44" t="str">
        <f>+V85</f>
        <v>3 Year Average</v>
      </c>
      <c r="W4" s="3"/>
    </row>
    <row r="5" spans="1:23" ht="12.75" customHeight="1" x14ac:dyDescent="0.3">
      <c r="A5" s="3"/>
      <c r="B5" s="148" t="str">
        <f>+Input!B13</f>
        <v>Business Revenue</v>
      </c>
      <c r="C5" s="222">
        <f ca="1">IF(scratch!$B$55=TRUE,Input!C13,scratch!$C$52)</f>
        <v>500000</v>
      </c>
      <c r="D5" s="46">
        <f ca="1">+C5*D52*D56/D51</f>
        <v>560679.61165048543</v>
      </c>
      <c r="E5" s="47">
        <f ca="1">+D5*E52*E56/E51</f>
        <v>588713.59223300975</v>
      </c>
      <c r="F5" s="48">
        <f ca="1">+E5*F52*F56/F51</f>
        <v>625128.8659793816</v>
      </c>
      <c r="G5" s="45">
        <f ca="1">AVERAGE(D5:F5)</f>
        <v>591507.35662095889</v>
      </c>
      <c r="H5" s="54"/>
      <c r="I5" s="3"/>
      <c r="J5" s="148" t="str">
        <f>+$B5</f>
        <v>Business Revenue</v>
      </c>
      <c r="K5" s="222">
        <f ca="1">+C5</f>
        <v>500000</v>
      </c>
      <c r="L5" s="46">
        <f ca="1">+K5*L52*L56/L51</f>
        <v>579687.5</v>
      </c>
      <c r="M5" s="47">
        <f ca="1">+L5*M52*M56/M51</f>
        <v>614468.75</v>
      </c>
      <c r="N5" s="48">
        <f ca="1">+M5*N52*N56/N51</f>
        <v>660362.68153526972</v>
      </c>
      <c r="O5" s="45">
        <f ca="1">AVERAGE(L5:N5)</f>
        <v>618172.9771784232</v>
      </c>
      <c r="P5" s="54"/>
      <c r="Q5" s="148" t="str">
        <f>+$B5</f>
        <v>Business Revenue</v>
      </c>
      <c r="R5" s="222">
        <f ca="1">+C5</f>
        <v>500000</v>
      </c>
      <c r="S5" s="46">
        <f ca="1">+R5*S52*S56/S51</f>
        <v>542084.94208494201</v>
      </c>
      <c r="T5" s="47">
        <f ca="1">+S5*T52*T56/T51</f>
        <v>563768.33976833976</v>
      </c>
      <c r="U5" s="48">
        <f ca="1">+T5*U52*U56/U51</f>
        <v>591494.65156022529</v>
      </c>
      <c r="V5" s="45">
        <f ca="1">AVERAGE(S5:U5)</f>
        <v>565782.6444711691</v>
      </c>
      <c r="W5" s="54"/>
    </row>
    <row r="6" spans="1:23" ht="13" x14ac:dyDescent="0.3">
      <c r="A6" s="3"/>
      <c r="B6" s="148" t="str">
        <f>+Input!B15</f>
        <v>Expenses</v>
      </c>
      <c r="C6" s="25"/>
      <c r="D6" s="26"/>
      <c r="E6" s="27"/>
      <c r="F6" s="28"/>
      <c r="G6" s="60"/>
      <c r="H6" s="54"/>
      <c r="I6" s="3"/>
      <c r="J6" s="148" t="str">
        <f t="shared" ref="J6:J47" si="0">+$B6</f>
        <v>Expenses</v>
      </c>
      <c r="K6" s="25"/>
      <c r="L6" s="26"/>
      <c r="M6" s="27"/>
      <c r="N6" s="28"/>
      <c r="O6" s="60"/>
      <c r="P6" s="54"/>
      <c r="Q6" s="148" t="str">
        <f t="shared" ref="Q6:Q47" si="1">+$B6</f>
        <v>Expenses</v>
      </c>
      <c r="R6" s="25"/>
      <c r="S6" s="26"/>
      <c r="T6" s="27"/>
      <c r="U6" s="28"/>
      <c r="V6" s="60"/>
      <c r="W6" s="54"/>
    </row>
    <row r="7" spans="1:23" ht="13" x14ac:dyDescent="0.3">
      <c r="A7" s="3"/>
      <c r="B7" s="148" t="str">
        <f>+Input!B16</f>
        <v>Variable Costs</v>
      </c>
      <c r="C7" s="29"/>
      <c r="D7" s="30"/>
      <c r="E7" s="30"/>
      <c r="F7" s="29"/>
      <c r="G7" s="60"/>
      <c r="H7" s="54"/>
      <c r="I7" s="3"/>
      <c r="J7" s="148" t="str">
        <f t="shared" si="0"/>
        <v>Variable Costs</v>
      </c>
      <c r="K7" s="29"/>
      <c r="L7" s="30"/>
      <c r="M7" s="30"/>
      <c r="N7" s="29"/>
      <c r="O7" s="60"/>
      <c r="P7" s="54"/>
      <c r="Q7" s="148" t="str">
        <f t="shared" si="1"/>
        <v>Variable Costs</v>
      </c>
      <c r="R7" s="29"/>
      <c r="S7" s="30"/>
      <c r="T7" s="30"/>
      <c r="U7" s="29"/>
      <c r="V7" s="60"/>
      <c r="W7" s="54"/>
    </row>
    <row r="8" spans="1:23" ht="13" x14ac:dyDescent="0.3">
      <c r="A8" s="3"/>
      <c r="B8" s="149" t="str">
        <f>+Input!B17</f>
        <v>Materials &amp; Supplies</v>
      </c>
      <c r="C8" s="50">
        <f>IF(Input!C$15=Input!B$86,Input!C$17,Input!D$17)</f>
        <v>10000</v>
      </c>
      <c r="D8" s="49">
        <f ca="1">+D5*$C9*$D53/D57</f>
        <v>11431.331888019608</v>
      </c>
      <c r="E8" s="49">
        <f ca="1">+E5*$C9*$D53*$E53/D57/E57</f>
        <v>12002.898482420587</v>
      </c>
      <c r="F8" s="50">
        <f ca="1">+F5*$C9*$D53*$E53*F53/D57/E57/F57</f>
        <v>12745.345811230112</v>
      </c>
      <c r="G8" s="45">
        <f ca="1">AVERAGE(D8:F8)</f>
        <v>12059.858727223434</v>
      </c>
      <c r="H8" s="55"/>
      <c r="I8" s="3"/>
      <c r="J8" s="149" t="str">
        <f t="shared" si="0"/>
        <v>Materials &amp; Supplies</v>
      </c>
      <c r="K8" s="222">
        <f>+C8</f>
        <v>10000</v>
      </c>
      <c r="L8" s="49">
        <f ca="1">+L5*$C9*$D53/L57</f>
        <v>11750.422297297297</v>
      </c>
      <c r="M8" s="49">
        <f ca="1">+M5*$C9*$D53*$E53/L57/M57</f>
        <v>12337.943412162162</v>
      </c>
      <c r="N8" s="50">
        <f ca="1">+N5*$C9*$D53*$E53*N53/L57/M57/N57</f>
        <v>13259.449559128632</v>
      </c>
      <c r="O8" s="45">
        <f ca="1">AVERAGE(L8:N8)</f>
        <v>12449.271756196031</v>
      </c>
      <c r="P8" s="55"/>
      <c r="Q8" s="149" t="str">
        <f t="shared" si="1"/>
        <v>Materials &amp; Supplies</v>
      </c>
      <c r="R8" s="222">
        <f>+C8</f>
        <v>10000</v>
      </c>
      <c r="S8" s="49">
        <f ca="1">+S5*$C9*$D53/S57</f>
        <v>11116.97635135135</v>
      </c>
      <c r="T8" s="49">
        <f ca="1">+T5*$C9*$D53*$E53/S57/T57</f>
        <v>11672.82516891892</v>
      </c>
      <c r="U8" s="50">
        <f ca="1">+U5*$C9*$D53*$E53*U53/S57/T57/U57</f>
        <v>12246.898537882147</v>
      </c>
      <c r="V8" s="45">
        <f ca="1">AVERAGE(S8:U8)</f>
        <v>11678.90001938414</v>
      </c>
      <c r="W8" s="55"/>
    </row>
    <row r="9" spans="1:23" x14ac:dyDescent="0.25">
      <c r="A9" s="3"/>
      <c r="B9" s="34" t="s">
        <v>17</v>
      </c>
      <c r="C9" s="35">
        <f ca="1">+C8/C$5</f>
        <v>0.02</v>
      </c>
      <c r="D9" s="36">
        <f ca="1">+D8/D5</f>
        <v>2.0388349514563111E-2</v>
      </c>
      <c r="E9" s="36">
        <f ca="1">+E8/E5</f>
        <v>2.0388349514563107E-2</v>
      </c>
      <c r="F9" s="35">
        <f ca="1">+F8/F5</f>
        <v>2.0388349514563111E-2</v>
      </c>
      <c r="G9" s="35">
        <f ca="1">+G8/G5</f>
        <v>2.0388349514563107E-2</v>
      </c>
      <c r="H9" s="55"/>
      <c r="I9" s="3"/>
      <c r="J9" s="155" t="str">
        <f t="shared" si="0"/>
        <v>% Revenue</v>
      </c>
      <c r="K9" s="35">
        <f ca="1">+K8/K$5</f>
        <v>0.02</v>
      </c>
      <c r="L9" s="36">
        <f ca="1">+L8/L5</f>
        <v>2.0270270270270268E-2</v>
      </c>
      <c r="M9" s="36">
        <f ca="1">+M8/M5</f>
        <v>2.0079041305456399E-2</v>
      </c>
      <c r="N9" s="35">
        <f ca="1">+N8/N5</f>
        <v>2.0079041305456402E-2</v>
      </c>
      <c r="O9" s="35">
        <f ca="1">+O8/O5</f>
        <v>2.013881585866022E-2</v>
      </c>
      <c r="P9" s="55"/>
      <c r="Q9" s="155" t="str">
        <f t="shared" si="1"/>
        <v>% Revenue</v>
      </c>
      <c r="R9" s="35">
        <f ca="1">+R8/R$5</f>
        <v>0.02</v>
      </c>
      <c r="S9" s="36">
        <f ca="1">+S8/S5</f>
        <v>2.05078125E-2</v>
      </c>
      <c r="T9" s="36">
        <f ca="1">+T8/T5</f>
        <v>2.0705003004807696E-2</v>
      </c>
      <c r="U9" s="35">
        <f ca="1">+U8/U5</f>
        <v>2.0705003004807699E-2</v>
      </c>
      <c r="V9" s="35">
        <f ca="1">+V8/V5</f>
        <v>2.0642025932591627E-2</v>
      </c>
      <c r="W9" s="55"/>
    </row>
    <row r="10" spans="1:23" ht="13" x14ac:dyDescent="0.3">
      <c r="A10" s="3"/>
      <c r="B10" s="149" t="str">
        <f>+Input!B18</f>
        <v>Labor excluding Owner</v>
      </c>
      <c r="C10" s="50">
        <f>IF(Input!C$15=Input!B$86,Input!C$18,Input!D$18)</f>
        <v>200000</v>
      </c>
      <c r="D10" s="49">
        <f ca="1">+D$5*($C11+$C13)*D54/D57-D12</f>
        <v>222477.96682062396</v>
      </c>
      <c r="E10" s="49">
        <f ca="1">+E$5*($C11+$C13)*D54*E54/D57/E57-E12</f>
        <v>229085.76170759567</v>
      </c>
      <c r="F10" s="50">
        <f ca="1">+F$5*($C11+$C13)*D54*E54*F54/D57/E57/F57-F12</f>
        <v>258404.25030321415</v>
      </c>
      <c r="G10" s="45">
        <f ca="1">AVERAGE(D10:F10)</f>
        <v>236655.99294381126</v>
      </c>
      <c r="H10" s="55"/>
      <c r="I10" s="3"/>
      <c r="J10" s="149" t="str">
        <f t="shared" si="0"/>
        <v>Labor excluding Owner</v>
      </c>
      <c r="K10" s="222">
        <f>+C10</f>
        <v>200000</v>
      </c>
      <c r="L10" s="49">
        <f ca="1">+L$5*($C11+$C13)*L54/L57-L12</f>
        <v>230170.39695945947</v>
      </c>
      <c r="M10" s="49">
        <f ca="1">+M$5*($C11+$C13)*L54*M54/L57/M57-M12</f>
        <v>235320.77756314661</v>
      </c>
      <c r="N10" s="50">
        <f ca="1">+N$5*($C11+$C13)*L54*M54*N54/L57/M57/N57-N12</f>
        <v>265969.27342111943</v>
      </c>
      <c r="O10" s="45">
        <f ca="1">AVERAGE(L10:N10)</f>
        <v>243820.14931457516</v>
      </c>
      <c r="P10" s="55"/>
      <c r="Q10" s="149" t="str">
        <f t="shared" si="1"/>
        <v>Labor excluding Owner</v>
      </c>
      <c r="R10" s="222">
        <f>+C10</f>
        <v>200000</v>
      </c>
      <c r="S10" s="49">
        <f ca="1">+S$5*($C11+$C13)*S54/S57-S12</f>
        <v>214900.33783783778</v>
      </c>
      <c r="T10" s="49">
        <f ca="1">+T$5*($C11+$C13)*S54*T54/S57/T57-T12</f>
        <v>222879.78046240841</v>
      </c>
      <c r="U10" s="50">
        <f ca="1">+U$5*($C11+$C13)*S54*T54*U54/S57/T57/U57-U12</f>
        <v>250882.66180386988</v>
      </c>
      <c r="V10" s="45">
        <f ca="1">AVERAGE(S10:U10)</f>
        <v>229554.26003470537</v>
      </c>
      <c r="W10" s="55"/>
    </row>
    <row r="11" spans="1:23" x14ac:dyDescent="0.25">
      <c r="A11" s="3"/>
      <c r="B11" s="34" t="s">
        <v>17</v>
      </c>
      <c r="C11" s="35">
        <f ca="1">+C10/C$5</f>
        <v>0.4</v>
      </c>
      <c r="D11" s="36">
        <f ca="1">+D10/D$5</f>
        <v>0.39680052956751977</v>
      </c>
      <c r="E11" s="36">
        <f ca="1">+E10/E$5</f>
        <v>0.38912939115039952</v>
      </c>
      <c r="F11" s="35">
        <f ca="1">+F10/F$5</f>
        <v>0.41336157129518475</v>
      </c>
      <c r="G11" s="35">
        <f ca="1">+G10/G$5</f>
        <v>0.40008968661984318</v>
      </c>
      <c r="H11" s="55"/>
      <c r="I11" s="3"/>
      <c r="J11" s="155" t="str">
        <f t="shared" si="0"/>
        <v>% Revenue</v>
      </c>
      <c r="K11" s="35">
        <f ca="1">+K10/K$5</f>
        <v>0.4</v>
      </c>
      <c r="L11" s="36">
        <f ca="1">+L10/L$5</f>
        <v>0.39705944488963357</v>
      </c>
      <c r="M11" s="36">
        <f ca="1">+M10/M$5</f>
        <v>0.38296622499215233</v>
      </c>
      <c r="N11" s="35">
        <f ca="1">+N10/N$5</f>
        <v>0.40276242261717526</v>
      </c>
      <c r="O11" s="35">
        <f ca="1">+O10/O$5</f>
        <v>0.39442058827524806</v>
      </c>
      <c r="P11" s="55"/>
      <c r="Q11" s="155" t="str">
        <f t="shared" si="1"/>
        <v>% Revenue</v>
      </c>
      <c r="R11" s="35">
        <f ca="1">+R10/R$5</f>
        <v>0.4</v>
      </c>
      <c r="S11" s="36">
        <f ca="1">+S10/S$5</f>
        <v>0.39643295940170936</v>
      </c>
      <c r="T11" s="36">
        <f ca="1">+T10/T$5</f>
        <v>0.39533929939022971</v>
      </c>
      <c r="U11" s="35">
        <f ca="1">+U10/U$5</f>
        <v>0.42415034716222672</v>
      </c>
      <c r="V11" s="35">
        <f ca="1">+V10/V$5</f>
        <v>0.40572870567506936</v>
      </c>
      <c r="W11" s="55"/>
    </row>
    <row r="12" spans="1:23" ht="13" x14ac:dyDescent="0.3">
      <c r="A12" s="3"/>
      <c r="B12" s="149" t="str">
        <f>+Input!B19</f>
        <v>Labor Owner</v>
      </c>
      <c r="C12" s="50">
        <f>IF(Input!C$15=Input!B$86,Input!C$19,Input!D$19)</f>
        <v>50000</v>
      </c>
      <c r="D12" s="49">
        <f ca="1">IF((D$5*$C13*D54/D57+D32)&lt;=D$60,D$5*$C13*$D54/D57,(D$60-D32))</f>
        <v>49696.601941747576</v>
      </c>
      <c r="E12" s="49">
        <f ca="1">IF((E$5*$C13*D54*E54/D57/E57+E32)&lt;=E$60,E$5*$C13*$D54*$E54/D57/E57,(E$60-E32))</f>
        <v>51254.044117647063</v>
      </c>
      <c r="F12" s="50">
        <f ca="1">IF((F$5*$C13*D54*E54*F54/D57/E57/F57+F32)&lt;=F$60,F$5*$C13*$D54*$E54*F54/D57/E57/F57,(F$60-F32))</f>
        <v>54160.182686476648</v>
      </c>
      <c r="G12" s="45">
        <f ca="1">AVERAGE(D12:F12)</f>
        <v>51703.609581957098</v>
      </c>
      <c r="H12" s="55"/>
      <c r="I12" s="3"/>
      <c r="J12" s="149" t="str">
        <f t="shared" si="0"/>
        <v>Labor Owner</v>
      </c>
      <c r="K12" s="222">
        <f>+C12</f>
        <v>50000</v>
      </c>
      <c r="L12" s="49">
        <f ca="1">IF((L$5*$C13*L54/L57+L32)&lt;=L$60,L$5*$C13*$D54/L57,(L$60-L32))</f>
        <v>49601.5625</v>
      </c>
      <c r="M12" s="49">
        <f ca="1">IF((M$5*$C13*L54*M54/L57/M57+M32)&lt;=M$60,M$5*$C13*$D54*$E54/L57/M57,(M$60-M32))</f>
        <v>51165.708923339844</v>
      </c>
      <c r="N12" s="50">
        <f ca="1">IF((N$5*$C13*L54*M54*N54/L57/M57/N57+N32)&lt;=N$60,N$5*$C13*$D54*$E54*N54/L57/M57/N57,(N$60-N32))</f>
        <v>54229.896703361861</v>
      </c>
      <c r="O12" s="45">
        <f ca="1">AVERAGE(L12:N12)</f>
        <v>51665.722708900568</v>
      </c>
      <c r="P12" s="55"/>
      <c r="Q12" s="149" t="str">
        <f t="shared" si="1"/>
        <v>Labor Owner</v>
      </c>
      <c r="R12" s="222">
        <f>+C12</f>
        <v>50000</v>
      </c>
      <c r="S12" s="49">
        <f ca="1">IF((S$5*$C13*S54/S57+S32)&lt;=S$60,S$5*$C13*$D54/S57,(S$60-S32))</f>
        <v>49789.575289575288</v>
      </c>
      <c r="T12" s="49">
        <f ca="1">IF((T$5*$C13*S54*T54/S57/T57+T32)&lt;=T$60,T$5*$C13*$D54*$E54/S57/T57,(T$60-T32))</f>
        <v>51338.969537591584</v>
      </c>
      <c r="U12" s="50">
        <f ca="1">IF((U$5*$C13*S54*T54*U54/S57/T57/U57+U32)&lt;=U$60,U$5*$C13*$D54*$E54*U54/S57/T57/U57,(U$60-U32))</f>
        <v>54084.551310884242</v>
      </c>
      <c r="V12" s="45">
        <f ca="1">AVERAGE(S12:U12)</f>
        <v>51737.698712683712</v>
      </c>
      <c r="W12" s="55"/>
    </row>
    <row r="13" spans="1:23" x14ac:dyDescent="0.25">
      <c r="A13" s="3"/>
      <c r="B13" s="34" t="s">
        <v>17</v>
      </c>
      <c r="C13" s="35">
        <f ca="1">+C12/C$5</f>
        <v>0.1</v>
      </c>
      <c r="D13" s="36">
        <f ca="1">+D12/D$5</f>
        <v>8.8636363636363638E-2</v>
      </c>
      <c r="E13" s="36">
        <f ca="1">+E12/E$5</f>
        <v>8.7061085040076633E-2</v>
      </c>
      <c r="F13" s="35">
        <f ca="1">+F12/F$5</f>
        <v>8.6638428704815224E-2</v>
      </c>
      <c r="G13" s="35">
        <f ca="1">+G12/G$5</f>
        <v>8.7409918073240556E-2</v>
      </c>
      <c r="H13" s="55"/>
      <c r="I13" s="3"/>
      <c r="J13" s="155" t="str">
        <f t="shared" si="0"/>
        <v>% Revenue</v>
      </c>
      <c r="K13" s="35">
        <f ca="1">+K12/K$5</f>
        <v>0.1</v>
      </c>
      <c r="L13" s="36">
        <f ca="1">+L12/L$5</f>
        <v>8.556603773584906E-2</v>
      </c>
      <c r="M13" s="36">
        <f ca="1">+M12/M$5</f>
        <v>8.3268203506427052E-2</v>
      </c>
      <c r="N13" s="35">
        <f ca="1">+N12/N$5</f>
        <v>8.2121383021347277E-2</v>
      </c>
      <c r="O13" s="35">
        <f ca="1">+O12/O$5</f>
        <v>8.3578099684529394E-2</v>
      </c>
      <c r="P13" s="55"/>
      <c r="Q13" s="155" t="str">
        <f t="shared" si="1"/>
        <v>% Revenue</v>
      </c>
      <c r="R13" s="35">
        <f ca="1">+R12/R$5</f>
        <v>0.1</v>
      </c>
      <c r="S13" s="36">
        <f ca="1">+S12/S$5</f>
        <v>9.1848290598290611E-2</v>
      </c>
      <c r="T13" s="36">
        <f ca="1">+T12/T$5</f>
        <v>9.1063945802077995E-2</v>
      </c>
      <c r="U13" s="35">
        <f ca="1">+U12/U$5</f>
        <v>9.1437092741619513E-2</v>
      </c>
      <c r="V13" s="35">
        <f ca="1">+V12/V$5</f>
        <v>9.1444478225454193E-2</v>
      </c>
      <c r="W13" s="55"/>
    </row>
    <row r="14" spans="1:23" ht="13" x14ac:dyDescent="0.3">
      <c r="A14" s="3"/>
      <c r="B14" s="149" t="str">
        <f>+Input!B20</f>
        <v>Distribution</v>
      </c>
      <c r="C14" s="50">
        <f>IF(Input!C$15=Input!B$86,Input!C$20,Input!D$20)</f>
        <v>20000</v>
      </c>
      <c r="D14" s="49">
        <f ca="1">+D$5*$C15/D57</f>
        <v>21773.965500989725</v>
      </c>
      <c r="E14" s="49">
        <f ca="1">+E$5*$C15/D57/E57</f>
        <v>21773.965500989729</v>
      </c>
      <c r="F14" s="50">
        <f ca="1">+F$5*$C15/D57/E57/F57</f>
        <v>23120.808727855074</v>
      </c>
      <c r="G14" s="45">
        <f ca="1">AVERAGE(D14:F14)</f>
        <v>22222.913243278173</v>
      </c>
      <c r="H14" s="55"/>
      <c r="I14" s="3"/>
      <c r="J14" s="149" t="str">
        <f t="shared" si="0"/>
        <v>Distribution</v>
      </c>
      <c r="K14" s="222">
        <f>+C14</f>
        <v>20000</v>
      </c>
      <c r="L14" s="49">
        <f ca="1">+L$5*$C15/L57</f>
        <v>22381.756756756757</v>
      </c>
      <c r="M14" s="49">
        <f ca="1">+M$5*$C15/L57/M57</f>
        <v>22381.756756756753</v>
      </c>
      <c r="N14" s="50">
        <f ca="1">+N$5*$C15/L57/M57/N57</f>
        <v>24053.423236514522</v>
      </c>
      <c r="O14" s="45">
        <f ca="1">AVERAGE(L14:N14)</f>
        <v>22938.978916676006</v>
      </c>
      <c r="P14" s="55"/>
      <c r="Q14" s="149" t="str">
        <f t="shared" si="1"/>
        <v>Distribution</v>
      </c>
      <c r="R14" s="222">
        <f>+C14</f>
        <v>20000</v>
      </c>
      <c r="S14" s="49">
        <f ca="1">+S$5*$C15/S57</f>
        <v>21175.193050193047</v>
      </c>
      <c r="T14" s="49">
        <f ca="1">+T$5*$C15/S57/T57</f>
        <v>21175.193050193051</v>
      </c>
      <c r="U14" s="50">
        <f ca="1">+U$5*$C15/S57/T57/U57</f>
        <v>22216.595987087789</v>
      </c>
      <c r="V14" s="45">
        <f ca="1">AVERAGE(S14:U14)</f>
        <v>21522.327362491294</v>
      </c>
      <c r="W14" s="55"/>
    </row>
    <row r="15" spans="1:23" x14ac:dyDescent="0.25">
      <c r="A15" s="3"/>
      <c r="B15" s="34" t="s">
        <v>17</v>
      </c>
      <c r="C15" s="35">
        <f ca="1">+C14/C$5</f>
        <v>0.04</v>
      </c>
      <c r="D15" s="36">
        <f ca="1">+D14/D$5</f>
        <v>3.8834951456310676E-2</v>
      </c>
      <c r="E15" s="36">
        <f ca="1">+E14/E$5</f>
        <v>3.6985668053629218E-2</v>
      </c>
      <c r="F15" s="35">
        <f ca="1">+F14/F$5</f>
        <v>3.6985668053629218E-2</v>
      </c>
      <c r="G15" s="35">
        <f ca="1">+G14/G$5</f>
        <v>3.7569969324183293E-2</v>
      </c>
      <c r="H15" s="55"/>
      <c r="I15" s="3"/>
      <c r="J15" s="155" t="str">
        <f t="shared" si="0"/>
        <v>% Revenue</v>
      </c>
      <c r="K15" s="35">
        <f ca="1">+K14/K$5</f>
        <v>0.04</v>
      </c>
      <c r="L15" s="36">
        <f ca="1">+L14/L$5</f>
        <v>3.8610038610038609E-2</v>
      </c>
      <c r="M15" s="36">
        <f ca="1">+M14/M$5</f>
        <v>3.642456472645151E-2</v>
      </c>
      <c r="N15" s="35">
        <f ca="1">+N14/N$5</f>
        <v>3.6424564726451517E-2</v>
      </c>
      <c r="O15" s="35">
        <f ca="1">+O14/O$5</f>
        <v>3.7107702477352275E-2</v>
      </c>
      <c r="P15" s="55"/>
      <c r="Q15" s="155" t="str">
        <f t="shared" si="1"/>
        <v>% Revenue</v>
      </c>
      <c r="R15" s="35">
        <f ca="1">+R14/R$5</f>
        <v>0.04</v>
      </c>
      <c r="S15" s="36">
        <f ca="1">+S14/S$5</f>
        <v>3.90625E-2</v>
      </c>
      <c r="T15" s="36">
        <f ca="1">+T14/T$5</f>
        <v>3.7560096153846152E-2</v>
      </c>
      <c r="U15" s="35">
        <f ca="1">+U14/U$5</f>
        <v>3.7560096153846152E-2</v>
      </c>
      <c r="V15" s="35">
        <f ca="1">+V14/V$5</f>
        <v>3.8039921465968581E-2</v>
      </c>
      <c r="W15" s="55"/>
    </row>
    <row r="16" spans="1:23" ht="13" x14ac:dyDescent="0.3">
      <c r="A16" s="3"/>
      <c r="B16" s="149" t="str">
        <f>+Input!B21</f>
        <v>Marketing</v>
      </c>
      <c r="C16" s="50">
        <f>IF(Input!C$15=Input!B$86,Input!C$21,Input!D$21)</f>
        <v>10000</v>
      </c>
      <c r="D16" s="49">
        <f ca="1">+D$5*$C17/D57</f>
        <v>10886.982750494863</v>
      </c>
      <c r="E16" s="49">
        <f ca="1">+E$5*$C17/D57/E57</f>
        <v>10886.982750494864</v>
      </c>
      <c r="F16" s="50">
        <f ca="1">+F$5*$C17/D57/E57/F57</f>
        <v>11560.404363927537</v>
      </c>
      <c r="G16" s="45">
        <f ca="1">AVERAGE(D16:F16)</f>
        <v>11111.456621639087</v>
      </c>
      <c r="H16" s="55"/>
      <c r="I16" s="3"/>
      <c r="J16" s="149" t="str">
        <f t="shared" si="0"/>
        <v>Marketing</v>
      </c>
      <c r="K16" s="222">
        <f>+C16</f>
        <v>10000</v>
      </c>
      <c r="L16" s="49">
        <f ca="1">+L$5*$C17/L57</f>
        <v>11190.878378378378</v>
      </c>
      <c r="M16" s="49">
        <f ca="1">+M$5*$C17/L57/M57</f>
        <v>11190.878378378377</v>
      </c>
      <c r="N16" s="50">
        <f ca="1">+N$5*$C17/L57/M57/N57</f>
        <v>12026.711618257261</v>
      </c>
      <c r="O16" s="45">
        <f ca="1">AVERAGE(L16:N16)</f>
        <v>11469.489458338003</v>
      </c>
      <c r="P16" s="55"/>
      <c r="Q16" s="149" t="str">
        <f t="shared" si="1"/>
        <v>Marketing</v>
      </c>
      <c r="R16" s="222">
        <f>+C16</f>
        <v>10000</v>
      </c>
      <c r="S16" s="49">
        <f ca="1">+S$5*$C17/S57</f>
        <v>10587.596525096524</v>
      </c>
      <c r="T16" s="49">
        <f ca="1">+T$5*$C17/S57/T57</f>
        <v>10587.596525096526</v>
      </c>
      <c r="U16" s="50">
        <f ca="1">+U$5*$C17/S57/T57/U57</f>
        <v>11108.297993543894</v>
      </c>
      <c r="V16" s="45">
        <f ca="1">AVERAGE(S16:U16)</f>
        <v>10761.163681245647</v>
      </c>
      <c r="W16" s="55"/>
    </row>
    <row r="17" spans="1:23" x14ac:dyDescent="0.25">
      <c r="A17" s="3"/>
      <c r="B17" s="34" t="s">
        <v>17</v>
      </c>
      <c r="C17" s="35">
        <f ca="1">+C16/C$5</f>
        <v>0.02</v>
      </c>
      <c r="D17" s="36">
        <f ca="1">+D16/D$5</f>
        <v>1.9417475728155338E-2</v>
      </c>
      <c r="E17" s="36">
        <f ca="1">+E16/E$5</f>
        <v>1.8492834026814609E-2</v>
      </c>
      <c r="F17" s="35">
        <f ca="1">+F16/F$5</f>
        <v>1.8492834026814609E-2</v>
      </c>
      <c r="G17" s="35">
        <f ca="1">+G16/G$5</f>
        <v>1.8784984662091646E-2</v>
      </c>
      <c r="H17" s="55"/>
      <c r="I17" s="3"/>
      <c r="J17" s="155" t="str">
        <f t="shared" si="0"/>
        <v>% Revenue</v>
      </c>
      <c r="K17" s="35">
        <f ca="1">+K16/K$5</f>
        <v>0.02</v>
      </c>
      <c r="L17" s="36">
        <f ca="1">+L16/L$5</f>
        <v>1.9305019305019305E-2</v>
      </c>
      <c r="M17" s="36">
        <f ca="1">+M16/M$5</f>
        <v>1.8212282363225755E-2</v>
      </c>
      <c r="N17" s="35">
        <f ca="1">+N16/N$5</f>
        <v>1.8212282363225758E-2</v>
      </c>
      <c r="O17" s="35">
        <f ca="1">+O16/O$5</f>
        <v>1.8553851238676138E-2</v>
      </c>
      <c r="P17" s="55"/>
      <c r="Q17" s="155" t="str">
        <f t="shared" si="1"/>
        <v>% Revenue</v>
      </c>
      <c r="R17" s="35">
        <f ca="1">+R16/R$5</f>
        <v>0.02</v>
      </c>
      <c r="S17" s="36">
        <f ca="1">+S16/S$5</f>
        <v>1.953125E-2</v>
      </c>
      <c r="T17" s="36">
        <f ca="1">+T16/T$5</f>
        <v>1.8780048076923076E-2</v>
      </c>
      <c r="U17" s="35">
        <f ca="1">+U16/U$5</f>
        <v>1.8780048076923076E-2</v>
      </c>
      <c r="V17" s="35">
        <f ca="1">+V16/V$5</f>
        <v>1.901996073298429E-2</v>
      </c>
      <c r="W17" s="55"/>
    </row>
    <row r="18" spans="1:23" ht="13" x14ac:dyDescent="0.3">
      <c r="A18" s="3"/>
      <c r="B18" s="149" t="str">
        <f>+Input!B22</f>
        <v>Other</v>
      </c>
      <c r="C18" s="50">
        <f>IF(Input!C$15=Input!B$86,Input!C$22,Input!D$22)</f>
        <v>20000</v>
      </c>
      <c r="D18" s="50">
        <f ca="1">+D$5*$C19/D57</f>
        <v>21773.965500989725</v>
      </c>
      <c r="E18" s="50">
        <f ca="1">+E$5*$C19/D57/E57</f>
        <v>21773.965500989729</v>
      </c>
      <c r="F18" s="50">
        <f ca="1">+F$5*$C19/D57/E57/F57</f>
        <v>23120.808727855074</v>
      </c>
      <c r="G18" s="45">
        <f ca="1">AVERAGE(D18:F18)</f>
        <v>22222.913243278173</v>
      </c>
      <c r="H18" s="55"/>
      <c r="I18" s="3"/>
      <c r="J18" s="149" t="str">
        <f t="shared" si="0"/>
        <v>Other</v>
      </c>
      <c r="K18" s="222">
        <f>+C18</f>
        <v>20000</v>
      </c>
      <c r="L18" s="50">
        <f ca="1">+L$5*$C19/L57</f>
        <v>22381.756756756757</v>
      </c>
      <c r="M18" s="50">
        <f ca="1">+M$5*$C19/L57/M57</f>
        <v>22381.756756756753</v>
      </c>
      <c r="N18" s="50">
        <f ca="1">+N$5*$C19/L57/M57/N57</f>
        <v>24053.423236514522</v>
      </c>
      <c r="O18" s="45">
        <f ca="1">AVERAGE(L18:N18)</f>
        <v>22938.978916676006</v>
      </c>
      <c r="P18" s="55"/>
      <c r="Q18" s="149" t="str">
        <f t="shared" si="1"/>
        <v>Other</v>
      </c>
      <c r="R18" s="222">
        <f>+C18</f>
        <v>20000</v>
      </c>
      <c r="S18" s="50">
        <f ca="1">+S$5*$C19/S57</f>
        <v>21175.193050193047</v>
      </c>
      <c r="T18" s="50">
        <f ca="1">+T$5*$C19/S57/T57</f>
        <v>21175.193050193051</v>
      </c>
      <c r="U18" s="50">
        <f ca="1">+U$5*$C19/S57/T57/U57</f>
        <v>22216.595987087789</v>
      </c>
      <c r="V18" s="45">
        <f ca="1">AVERAGE(S18:U18)</f>
        <v>21522.327362491294</v>
      </c>
      <c r="W18" s="55"/>
    </row>
    <row r="19" spans="1:23" x14ac:dyDescent="0.25">
      <c r="A19" s="3"/>
      <c r="B19" s="34" t="s">
        <v>17</v>
      </c>
      <c r="C19" s="35">
        <f ca="1">+C18/C$5</f>
        <v>0.04</v>
      </c>
      <c r="D19" s="36">
        <f ca="1">+D18/D$5</f>
        <v>3.8834951456310676E-2</v>
      </c>
      <c r="E19" s="36">
        <f ca="1">+E18/E$5</f>
        <v>3.6985668053629218E-2</v>
      </c>
      <c r="F19" s="35">
        <f ca="1">+F18/F$5</f>
        <v>3.6985668053629218E-2</v>
      </c>
      <c r="G19" s="35">
        <f ca="1">+G18/G$5</f>
        <v>3.7569969324183293E-2</v>
      </c>
      <c r="H19" s="55"/>
      <c r="I19" s="3"/>
      <c r="J19" s="155" t="str">
        <f t="shared" si="0"/>
        <v>% Revenue</v>
      </c>
      <c r="K19" s="35">
        <f ca="1">+K18/K$5</f>
        <v>0.04</v>
      </c>
      <c r="L19" s="36">
        <f ca="1">+L18/L$5</f>
        <v>3.8610038610038609E-2</v>
      </c>
      <c r="M19" s="36">
        <f ca="1">+M18/M$5</f>
        <v>3.642456472645151E-2</v>
      </c>
      <c r="N19" s="35">
        <f ca="1">+N18/N$5</f>
        <v>3.6424564726451517E-2</v>
      </c>
      <c r="O19" s="35">
        <f ca="1">+O18/O$5</f>
        <v>3.7107702477352275E-2</v>
      </c>
      <c r="P19" s="55"/>
      <c r="Q19" s="155" t="str">
        <f t="shared" si="1"/>
        <v>% Revenue</v>
      </c>
      <c r="R19" s="35">
        <f ca="1">+R18/R$5</f>
        <v>0.04</v>
      </c>
      <c r="S19" s="36">
        <f ca="1">+S18/S$5</f>
        <v>3.90625E-2</v>
      </c>
      <c r="T19" s="36">
        <f ca="1">+T18/T$5</f>
        <v>3.7560096153846152E-2</v>
      </c>
      <c r="U19" s="35">
        <f ca="1">+U18/U$5</f>
        <v>3.7560096153846152E-2</v>
      </c>
      <c r="V19" s="35">
        <f ca="1">+V18/V$5</f>
        <v>3.8039921465968581E-2</v>
      </c>
      <c r="W19" s="55"/>
    </row>
    <row r="20" spans="1:23" ht="13" x14ac:dyDescent="0.3">
      <c r="A20" s="3"/>
      <c r="B20" s="149" t="str">
        <f>+Input!B23</f>
        <v>Total Variable Costs</v>
      </c>
      <c r="C20" s="51">
        <f>+C8+C10+C12+C14+C16+C18</f>
        <v>310000</v>
      </c>
      <c r="D20" s="51">
        <f ca="1">+D8+D10+D12+D14+D16+D18</f>
        <v>338040.81440286536</v>
      </c>
      <c r="E20" s="51">
        <f ca="1">+E8+E10+E12+E14+E16+E18</f>
        <v>346777.61806013767</v>
      </c>
      <c r="F20" s="51">
        <f ca="1">+F8+F10+F12+F14+F16+F18</f>
        <v>383111.80062055867</v>
      </c>
      <c r="G20" s="45">
        <f ca="1">AVERAGE(D20:F20)</f>
        <v>355976.74436118727</v>
      </c>
      <c r="H20" s="56"/>
      <c r="I20" s="3"/>
      <c r="J20" s="149" t="str">
        <f t="shared" si="0"/>
        <v>Total Variable Costs</v>
      </c>
      <c r="K20" s="51">
        <f>+K8+K10+K12+K14+K16+K18</f>
        <v>310000</v>
      </c>
      <c r="L20" s="51">
        <f ca="1">+L8+L10+L12+L14+L16+L18</f>
        <v>347476.7736486487</v>
      </c>
      <c r="M20" s="51">
        <f ca="1">+M8+M10+M12+M14+M16+M18</f>
        <v>354778.82179054053</v>
      </c>
      <c r="N20" s="51">
        <f ca="1">+N8+N10+N12+N14+N16+N18</f>
        <v>393592.1777748962</v>
      </c>
      <c r="O20" s="45">
        <f ca="1">AVERAGE(L20:N20)</f>
        <v>365282.59107136185</v>
      </c>
      <c r="P20" s="56"/>
      <c r="Q20" s="149" t="str">
        <f t="shared" si="1"/>
        <v>Total Variable Costs</v>
      </c>
      <c r="R20" s="51">
        <f>+R8+R10+R12+R14+R16+R18</f>
        <v>310000</v>
      </c>
      <c r="S20" s="51">
        <f ca="1">+S8+S10+S12+S14+S16+S18</f>
        <v>328744.8721042471</v>
      </c>
      <c r="T20" s="51">
        <f ca="1">+T8+T10+T12+T14+T16+T18</f>
        <v>338829.55779440154</v>
      </c>
      <c r="U20" s="51">
        <f ca="1">+U8+U10+U12+U14+U16+U18</f>
        <v>372755.6016203558</v>
      </c>
      <c r="V20" s="45">
        <f ca="1">AVERAGE(S20:U20)</f>
        <v>346776.67717300146</v>
      </c>
      <c r="W20" s="56"/>
    </row>
    <row r="21" spans="1:23" ht="13" x14ac:dyDescent="0.25">
      <c r="A21" s="3"/>
      <c r="B21" s="34" t="str">
        <f>+'Expected Results'!B22</f>
        <v>Total Variable Costs %</v>
      </c>
      <c r="C21" s="38">
        <f ca="1">IF(C20=0,0,+C20/C$5)</f>
        <v>0.62</v>
      </c>
      <c r="D21" s="38">
        <f ca="1">IF(D20=0,0,+D20/D$5)</f>
        <v>0.60291262135922308</v>
      </c>
      <c r="E21" s="38">
        <f ca="1">IF(E20=0,0,+E20/E$5)</f>
        <v>0.58904299583911235</v>
      </c>
      <c r="F21" s="38">
        <f ca="1">IF(F20=0,0,+F20/F$5)</f>
        <v>0.6128525196486363</v>
      </c>
      <c r="G21" s="38">
        <f ca="1">IF(G20=0,0,+G20/G$5)</f>
        <v>0.60181287751810519</v>
      </c>
      <c r="H21" s="54"/>
      <c r="I21" s="3"/>
      <c r="J21" s="155" t="str">
        <f t="shared" si="0"/>
        <v>Total Variable Costs %</v>
      </c>
      <c r="K21" s="38">
        <f ca="1">IF(K20=0,0,+K20/K$5)</f>
        <v>0.62</v>
      </c>
      <c r="L21" s="38">
        <f ca="1">IF(L20=0,0,+L20/L$5)</f>
        <v>0.5994208494208495</v>
      </c>
      <c r="M21" s="38">
        <f ca="1">IF(M20=0,0,+M20/M$5)</f>
        <v>0.57737488162016459</v>
      </c>
      <c r="N21" s="38">
        <f ca="1">IF(N20=0,0,+N20/N$5)</f>
        <v>0.59602425876010767</v>
      </c>
      <c r="O21" s="38">
        <f ca="1">IF(O20=0,0,+O20/O$5)</f>
        <v>0.59090676001181841</v>
      </c>
      <c r="P21" s="54"/>
      <c r="Q21" s="155" t="str">
        <f t="shared" si="1"/>
        <v>Total Variable Costs %</v>
      </c>
      <c r="R21" s="38">
        <f ca="1">IF(R20=0,0,+R20/R$5)</f>
        <v>0.62</v>
      </c>
      <c r="S21" s="38">
        <f ca="1">IF(S20=0,0,+S20/S$5)</f>
        <v>0.60644531250000011</v>
      </c>
      <c r="T21" s="38">
        <f ca="1">IF(T20=0,0,+T20/T$5)</f>
        <v>0.60100848858173073</v>
      </c>
      <c r="U21" s="38">
        <f ca="1">IF(U20=0,0,+U20/U$5)</f>
        <v>0.63019268329326938</v>
      </c>
      <c r="V21" s="38">
        <f ca="1">IF(V20=0,0,+V20/V$5)</f>
        <v>0.61291501349803656</v>
      </c>
      <c r="W21" s="54"/>
    </row>
    <row r="22" spans="1:23" ht="13" x14ac:dyDescent="0.3">
      <c r="A22" s="3"/>
      <c r="B22" s="31" t="str">
        <f>+'Expected Results'!B23</f>
        <v>Gross Profit</v>
      </c>
      <c r="C22" s="37">
        <f ca="1">+C5-C20</f>
        <v>190000</v>
      </c>
      <c r="D22" s="37">
        <f ca="1">+D5-D20</f>
        <v>222638.79724762007</v>
      </c>
      <c r="E22" s="37">
        <f ca="1">+E5-E20</f>
        <v>241935.97417287208</v>
      </c>
      <c r="F22" s="37">
        <f ca="1">+F5-F20</f>
        <v>242017.06535882293</v>
      </c>
      <c r="G22" s="37">
        <f ca="1">+G5-G20</f>
        <v>235530.61225977162</v>
      </c>
      <c r="H22" s="54"/>
      <c r="I22" s="3"/>
      <c r="J22" s="149" t="str">
        <f t="shared" si="0"/>
        <v>Gross Profit</v>
      </c>
      <c r="K22" s="37">
        <f ca="1">+K5-K20</f>
        <v>190000</v>
      </c>
      <c r="L22" s="37">
        <f ca="1">+L5-L20</f>
        <v>232210.7263513513</v>
      </c>
      <c r="M22" s="37">
        <f ca="1">+M5-M20</f>
        <v>259689.92820945947</v>
      </c>
      <c r="N22" s="37">
        <f ca="1">+N5-N20</f>
        <v>266770.50376037351</v>
      </c>
      <c r="O22" s="37">
        <f ca="1">+O5-O20</f>
        <v>252890.38610706135</v>
      </c>
      <c r="P22" s="54"/>
      <c r="Q22" s="149" t="str">
        <f t="shared" si="1"/>
        <v>Gross Profit</v>
      </c>
      <c r="R22" s="37">
        <f ca="1">+R5-R20</f>
        <v>190000</v>
      </c>
      <c r="S22" s="37">
        <f ca="1">+S5-S20</f>
        <v>213340.06998069491</v>
      </c>
      <c r="T22" s="37">
        <f ca="1">+T5-T20</f>
        <v>224938.78197393822</v>
      </c>
      <c r="U22" s="37">
        <f ca="1">+U5-U20</f>
        <v>218739.0499398695</v>
      </c>
      <c r="V22" s="37">
        <f ca="1">+V5-V20</f>
        <v>219005.96729816764</v>
      </c>
      <c r="W22" s="54"/>
    </row>
    <row r="23" spans="1:23" ht="13" x14ac:dyDescent="0.25">
      <c r="A23" s="3"/>
      <c r="B23" s="34" t="str">
        <f>+'Expected Results'!B24</f>
        <v>Gross Profit %</v>
      </c>
      <c r="C23" s="38">
        <f ca="1">IF(C22=0,0,+C22/C$5)</f>
        <v>0.38</v>
      </c>
      <c r="D23" s="38">
        <f ca="1">IF(D22=0,0,+D22/D$5)</f>
        <v>0.39708737864077692</v>
      </c>
      <c r="E23" s="38">
        <f ca="1">IF(E22=0,0,+E22/E$5)</f>
        <v>0.4109570041608876</v>
      </c>
      <c r="F23" s="38">
        <f ca="1">IF(F22=0,0,+F22/F$5)</f>
        <v>0.38714748035136376</v>
      </c>
      <c r="G23" s="38">
        <f ca="1">IF(G22=0,0,+G22/G$5)</f>
        <v>0.39818712248189486</v>
      </c>
      <c r="H23" s="54"/>
      <c r="I23" s="3"/>
      <c r="J23" s="155" t="str">
        <f t="shared" si="0"/>
        <v>Gross Profit %</v>
      </c>
      <c r="K23" s="38">
        <f ca="1">IF(K22=0,0,+K22/K$5)</f>
        <v>0.38</v>
      </c>
      <c r="L23" s="38">
        <f ca="1">IF(L22=0,0,+L22/L$5)</f>
        <v>0.4005791505791505</v>
      </c>
      <c r="M23" s="38">
        <f ca="1">IF(M22=0,0,+M22/M$5)</f>
        <v>0.42262511837983535</v>
      </c>
      <c r="N23" s="38">
        <f ca="1">IF(N22=0,0,+N22/N$5)</f>
        <v>0.40397574123989227</v>
      </c>
      <c r="O23" s="38">
        <f ca="1">IF(O22=0,0,+O22/O$5)</f>
        <v>0.40909323998818153</v>
      </c>
      <c r="P23" s="54"/>
      <c r="Q23" s="155" t="str">
        <f t="shared" si="1"/>
        <v>Gross Profit %</v>
      </c>
      <c r="R23" s="38">
        <f ca="1">IF(R22=0,0,+R22/R$5)</f>
        <v>0.38</v>
      </c>
      <c r="S23" s="38">
        <f ca="1">IF(S22=0,0,+S22/S$5)</f>
        <v>0.39355468749999994</v>
      </c>
      <c r="T23" s="38">
        <f ca="1">IF(T22=0,0,+T22/T$5)</f>
        <v>0.39899151141826922</v>
      </c>
      <c r="U23" s="38">
        <f ca="1">IF(U22=0,0,+U22/U$5)</f>
        <v>0.36980731670673062</v>
      </c>
      <c r="V23" s="38">
        <f ca="1">IF(V22=0,0,+V22/V$5)</f>
        <v>0.38708498650196338</v>
      </c>
      <c r="W23" s="54"/>
    </row>
    <row r="24" spans="1:23" ht="13" x14ac:dyDescent="0.25">
      <c r="A24" s="3"/>
      <c r="B24" s="34" t="str">
        <f>+'Expected Results'!B25</f>
        <v>Mark-up Equivalent</v>
      </c>
      <c r="C24" s="38">
        <f ca="1">IF(C5=0,0,+C5/C20-1)</f>
        <v>0.61290322580645151</v>
      </c>
      <c r="D24" s="39">
        <f ca="1">IF(D5=0,0,+D5/D20-1)</f>
        <v>0.65861513687600715</v>
      </c>
      <c r="E24" s="39">
        <f ca="1">IF(E5=0,0,+E5/E20-1)</f>
        <v>0.69766894278314084</v>
      </c>
      <c r="F24" s="38">
        <f ca="1">IF(F5=0,0,+F5/F20-1)</f>
        <v>0.63171394085697008</v>
      </c>
      <c r="G24" s="38">
        <f ca="1">IF(G5=0,0,+G5/G20-1)</f>
        <v>0.66164606534182324</v>
      </c>
      <c r="H24" s="54"/>
      <c r="I24" s="3"/>
      <c r="J24" s="155" t="str">
        <f t="shared" si="0"/>
        <v>Mark-up Equivalent</v>
      </c>
      <c r="K24" s="38">
        <f ca="1">IF(K5=0,0,+K5/K20-1)</f>
        <v>0.61290322580645151</v>
      </c>
      <c r="L24" s="39">
        <f ca="1">IF(L5=0,0,+L5/L20-1)</f>
        <v>0.66827697262479857</v>
      </c>
      <c r="M24" s="39">
        <f ca="1">IF(M5=0,0,+M5/M20-1)</f>
        <v>0.73197697342480872</v>
      </c>
      <c r="N24" s="38">
        <f ca="1">IF(N5=0,0,+N5/N20-1)</f>
        <v>0.67778405879027726</v>
      </c>
      <c r="O24" s="38">
        <f ca="1">IF(O5=0,0,+O5/O20-1)</f>
        <v>0.69231436780313604</v>
      </c>
      <c r="P24" s="54"/>
      <c r="Q24" s="155" t="str">
        <f t="shared" si="1"/>
        <v>Mark-up Equivalent</v>
      </c>
      <c r="R24" s="38">
        <f ca="1">IF(R5=0,0,+R5/R20-1)</f>
        <v>0.61290322580645151</v>
      </c>
      <c r="S24" s="39">
        <f ca="1">IF(S5=0,0,+S5/S20-1)</f>
        <v>0.64895330112721394</v>
      </c>
      <c r="T24" s="39">
        <f ca="1">IF(T5=0,0,+T5/T20-1)</f>
        <v>0.66387001015545666</v>
      </c>
      <c r="U24" s="38">
        <f ca="1">IF(U5=0,0,+U5/U20-1)</f>
        <v>0.58681626510512075</v>
      </c>
      <c r="V24" s="38">
        <f ca="1">IF(V5=0,0,+V5/V20-1)</f>
        <v>0.6315475685491645</v>
      </c>
      <c r="W24" s="54"/>
    </row>
    <row r="25" spans="1:23" ht="13" x14ac:dyDescent="0.3">
      <c r="A25" s="3"/>
      <c r="B25" s="148" t="str">
        <f>+Input!B24</f>
        <v>Fixed Costs</v>
      </c>
      <c r="C25" s="29"/>
      <c r="D25" s="40"/>
      <c r="E25" s="40"/>
      <c r="F25" s="29"/>
      <c r="G25" s="29"/>
      <c r="H25" s="54"/>
      <c r="I25" s="3"/>
      <c r="J25" s="148" t="str">
        <f t="shared" si="0"/>
        <v>Fixed Costs</v>
      </c>
      <c r="K25" s="29"/>
      <c r="L25" s="40"/>
      <c r="M25" s="40"/>
      <c r="N25" s="29"/>
      <c r="O25" s="29"/>
      <c r="P25" s="54"/>
      <c r="Q25" s="148" t="str">
        <f t="shared" si="1"/>
        <v>Fixed Costs</v>
      </c>
      <c r="R25" s="29"/>
      <c r="S25" s="40"/>
      <c r="T25" s="40"/>
      <c r="U25" s="29"/>
      <c r="V25" s="29"/>
      <c r="W25" s="54"/>
    </row>
    <row r="26" spans="1:23" ht="13" x14ac:dyDescent="0.3">
      <c r="A26" s="3"/>
      <c r="B26" s="149" t="str">
        <f>+Input!B25</f>
        <v>Location</v>
      </c>
      <c r="C26" s="50">
        <f>IF(Input!C$15=Input!B$86,Input!C$25,Input!D$25)</f>
        <v>40000</v>
      </c>
      <c r="D26" s="49">
        <f ca="1">$C26+$C26*(D$5-$C$5)/$C$5*$C$59</f>
        <v>41213.592233009709</v>
      </c>
      <c r="E26" s="49">
        <f ca="1">$C26+$C26*(E$5-$C$5)/$C$5*$C$59</f>
        <v>41774.271844660194</v>
      </c>
      <c r="F26" s="50">
        <f ca="1">$C26+$C26*(F$5-$C$5)/$C$5*$C$59</f>
        <v>42502.577319587632</v>
      </c>
      <c r="G26" s="45">
        <f ca="1">AVERAGE(D26:F26)</f>
        <v>41830.147132419173</v>
      </c>
      <c r="H26" s="54"/>
      <c r="I26" s="3"/>
      <c r="J26" s="149" t="str">
        <f t="shared" si="0"/>
        <v>Location</v>
      </c>
      <c r="K26" s="222">
        <f>+C26</f>
        <v>40000</v>
      </c>
      <c r="L26" s="49">
        <f ca="1">$C26+$C26*(L$5-$C$5)/$C$5*$C$59</f>
        <v>41593.75</v>
      </c>
      <c r="M26" s="49">
        <f ca="1">$C26+$C26*(M$5-$C$5)/$C$5*$C$59</f>
        <v>42289.375</v>
      </c>
      <c r="N26" s="50">
        <f ca="1">$C26+$C26*(N$5-$C$5)/$C$5*$C$59</f>
        <v>43207.253630705396</v>
      </c>
      <c r="O26" s="45">
        <f ca="1">AVERAGE(L26:N26)</f>
        <v>42363.459543568468</v>
      </c>
      <c r="P26" s="54"/>
      <c r="Q26" s="149" t="str">
        <f t="shared" si="1"/>
        <v>Location</v>
      </c>
      <c r="R26" s="222">
        <f>+C26</f>
        <v>40000</v>
      </c>
      <c r="S26" s="49">
        <f ca="1">$C26+$C26*(S$5-$C$5)/$C$5*$C$59</f>
        <v>40841.698841698839</v>
      </c>
      <c r="T26" s="49">
        <f ca="1">$C26+$C26*(T$5-$C$5)/$C$5*$C$59</f>
        <v>41275.366795366797</v>
      </c>
      <c r="U26" s="50">
        <f ca="1">$C26+$C26*(U$5-$C$5)/$C$5*$C$59</f>
        <v>41829.893031204505</v>
      </c>
      <c r="V26" s="45">
        <f ca="1">AVERAGE(S26:U26)</f>
        <v>41315.652889423385</v>
      </c>
      <c r="W26" s="54"/>
    </row>
    <row r="27" spans="1:23" x14ac:dyDescent="0.25">
      <c r="A27" s="3"/>
      <c r="B27" s="34" t="s">
        <v>17</v>
      </c>
      <c r="C27" s="35">
        <f ca="1">+C26/C$5</f>
        <v>0.08</v>
      </c>
      <c r="D27" s="36">
        <f ca="1">+D26/D$5</f>
        <v>7.3506493506493506E-2</v>
      </c>
      <c r="E27" s="36">
        <f ca="1">+E26/E$5</f>
        <v>7.0958565244279528E-2</v>
      </c>
      <c r="F27" s="35">
        <f ca="1">+F26/F$5</f>
        <v>6.7990105132962261E-2</v>
      </c>
      <c r="G27" s="35">
        <f ca="1">+G26/G$5</f>
        <v>7.0717881467067131E-2</v>
      </c>
      <c r="H27" s="54"/>
      <c r="I27" s="3"/>
      <c r="J27" s="155" t="str">
        <f t="shared" si="0"/>
        <v>% Revenue</v>
      </c>
      <c r="K27" s="35">
        <f ca="1">+K26/K$5</f>
        <v>0.08</v>
      </c>
      <c r="L27" s="36">
        <f ca="1">+L26/L$5</f>
        <v>7.1752021563342316E-2</v>
      </c>
      <c r="M27" s="36">
        <f ca="1">+M26/M$5</f>
        <v>6.8822661852209741E-2</v>
      </c>
      <c r="N27" s="35">
        <f ca="1">+N26/N$5</f>
        <v>6.5429581105724124E-2</v>
      </c>
      <c r="O27" s="35">
        <f ca="1">+O26/O$5</f>
        <v>6.8530105823990273E-2</v>
      </c>
      <c r="P27" s="54"/>
      <c r="Q27" s="155" t="str">
        <f t="shared" si="1"/>
        <v>% Revenue</v>
      </c>
      <c r="R27" s="35">
        <f ca="1">+R26/R$5</f>
        <v>0.08</v>
      </c>
      <c r="S27" s="36">
        <f ca="1">+S26/S$5</f>
        <v>7.5341880341880343E-2</v>
      </c>
      <c r="T27" s="36">
        <f ca="1">+T26/T$5</f>
        <v>7.3213346482577255E-2</v>
      </c>
      <c r="U27" s="35">
        <f ca="1">+U26/U$5</f>
        <v>7.0718970866206446E-2</v>
      </c>
      <c r="V27" s="35">
        <f ca="1">+V26/V$5</f>
        <v>7.3023895824942953E-2</v>
      </c>
      <c r="W27" s="54"/>
    </row>
    <row r="28" spans="1:23" ht="13" x14ac:dyDescent="0.3">
      <c r="A28" s="3"/>
      <c r="B28" s="149" t="str">
        <f>+Input!B26</f>
        <v>Administration</v>
      </c>
      <c r="C28" s="50">
        <f>IF(Input!C$15=Input!B$86,Input!C$26,Input!D$26)</f>
        <v>30000</v>
      </c>
      <c r="D28" s="49">
        <f ca="1">($C28+$C28*(D$5-$C$5)/$C$5*$C$59)/D58</f>
        <v>30910.194174757282</v>
      </c>
      <c r="E28" s="49">
        <f ca="1">($C28+$C28*(E$5-$C$5)/$C$5*$C$59)/D58/E58</f>
        <v>30716.376356367789</v>
      </c>
      <c r="F28" s="50">
        <f ca="1">($C28+$C28*(F$5-$C$5)/$C$5*$C$59)/D58/E58/F58</f>
        <v>29763.709607554363</v>
      </c>
      <c r="G28" s="45">
        <f ca="1">AVERAGE(D28:F28)</f>
        <v>30463.426712893142</v>
      </c>
      <c r="H28" s="54"/>
      <c r="I28" s="3"/>
      <c r="J28" s="149" t="str">
        <f t="shared" si="0"/>
        <v>Administration</v>
      </c>
      <c r="K28" s="222">
        <f>+C28</f>
        <v>30000</v>
      </c>
      <c r="L28" s="49">
        <f ca="1">($C28+$C28*(L$5-$C$5)/$C$5*$C$59)/L58</f>
        <v>31195.3125</v>
      </c>
      <c r="M28" s="49">
        <f ca="1">($C28+$C28*(M$5-$C$5)/$C$5*$C$59)/L58/M58</f>
        <v>30973.663330078125</v>
      </c>
      <c r="N28" s="50">
        <f ca="1">($C28+$C28*(N$5-$C$5)/$C$5*$C$59)/L58/M58/N58</f>
        <v>29854.658224341321</v>
      </c>
      <c r="O28" s="45">
        <f ca="1">AVERAGE(L28:N28)</f>
        <v>30674.544684806478</v>
      </c>
      <c r="P28" s="54"/>
      <c r="Q28" s="149" t="str">
        <f t="shared" si="1"/>
        <v>Administration</v>
      </c>
      <c r="R28" s="222">
        <f>+C28</f>
        <v>30000</v>
      </c>
      <c r="S28" s="49">
        <f ca="1">($C28+$C28*(S$5-$C$5)/$C$5*$C$59)/S58</f>
        <v>30631.274131274131</v>
      </c>
      <c r="T28" s="49">
        <f ca="1">($C28+$C28*(T$5-$C$5)/$C$5*$C$59)/S58/T58</f>
        <v>30469.020764296354</v>
      </c>
      <c r="U28" s="50">
        <f ca="1">($C28+$C28*(U$5-$C$5)/$C$5*$C$59)/S58/T58/U58</f>
        <v>29690.736460292417</v>
      </c>
      <c r="V28" s="45">
        <f ca="1">AVERAGE(S28:U28)</f>
        <v>30263.677118620966</v>
      </c>
      <c r="W28" s="54"/>
    </row>
    <row r="29" spans="1:23" x14ac:dyDescent="0.25">
      <c r="A29" s="3"/>
      <c r="B29" s="34" t="s">
        <v>17</v>
      </c>
      <c r="C29" s="35">
        <f ca="1">+C28/C$5</f>
        <v>0.06</v>
      </c>
      <c r="D29" s="36">
        <f ca="1">+D28/D$5</f>
        <v>5.5129870129870133E-2</v>
      </c>
      <c r="E29" s="36">
        <f ca="1">+E28/E$5</f>
        <v>5.2175415620793766E-2</v>
      </c>
      <c r="F29" s="35">
        <f ca="1">+F28/F$5</f>
        <v>4.7612118440449762E-2</v>
      </c>
      <c r="G29" s="35">
        <f ca="1">+G28/G$5</f>
        <v>5.150134883684003E-2</v>
      </c>
      <c r="H29" s="54"/>
      <c r="I29" s="3"/>
      <c r="J29" s="155" t="str">
        <f t="shared" si="0"/>
        <v>% Revenue</v>
      </c>
      <c r="K29" s="35">
        <f ca="1">+K28/K$5</f>
        <v>0.06</v>
      </c>
      <c r="L29" s="36">
        <f ca="1">+L28/L$5</f>
        <v>5.3814016172506737E-2</v>
      </c>
      <c r="M29" s="36">
        <f ca="1">+M28/M$5</f>
        <v>5.0407223036286426E-2</v>
      </c>
      <c r="N29" s="35">
        <f ca="1">+N28/N$5</f>
        <v>4.520948723954625E-2</v>
      </c>
      <c r="O29" s="35">
        <f ca="1">+O28/O$5</f>
        <v>4.9621296655212553E-2</v>
      </c>
      <c r="P29" s="54"/>
      <c r="Q29" s="155" t="str">
        <f t="shared" si="1"/>
        <v>% Revenue</v>
      </c>
      <c r="R29" s="35">
        <f ca="1">+R28/R$5</f>
        <v>0.06</v>
      </c>
      <c r="S29" s="36">
        <f ca="1">+S28/S$5</f>
        <v>5.6506410256410261E-2</v>
      </c>
      <c r="T29" s="36">
        <f ca="1">+T28/T$5</f>
        <v>5.4045285297178086E-2</v>
      </c>
      <c r="U29" s="35">
        <f ca="1">+U28/U$5</f>
        <v>5.0196119917526157E-2</v>
      </c>
      <c r="V29" s="35">
        <f ca="1">+V28/V$5</f>
        <v>5.3489935427248919E-2</v>
      </c>
      <c r="W29" s="54"/>
    </row>
    <row r="30" spans="1:23" ht="13" x14ac:dyDescent="0.3">
      <c r="A30" s="3"/>
      <c r="B30" s="149" t="str">
        <f>+Input!B27</f>
        <v>Labor excluding Owner</v>
      </c>
      <c r="C30" s="50">
        <f>IF(Input!C$15=Input!B$86,Input!C$27,Input!D$27)</f>
        <v>50000</v>
      </c>
      <c r="D30" s="49">
        <f ca="1">($C30+$C30*(D$5-$C$5)/$C$5*$C$59)*$D54/D58+($C32+$C32*(D$5-$C$5)/$C$5*$C$59)*$D54/D58-D32</f>
        <v>51516.990291262133</v>
      </c>
      <c r="E30" s="49">
        <f ca="1">($C30+$C30*(E$5-$C$5)/$C$5*$C$59)*$D54*$E54/D58/E58+($C32+$C32*(E$5-$C$5)/$C$5*$C$59)*$D54*$E54/D58/E58-E32</f>
        <v>52729.779411764714</v>
      </c>
      <c r="F30" s="50">
        <f ca="1">($C30+$C30*(F$5-$C$5)/$C$5*$C$59)*$D54*$E54*F54/D58/E58/F58+($C32+$C32*(F$5-$C$5)/$C$5*$C$59)*$D54*$E54*F54/D58/E58/F58-F32</f>
        <v>53649.086567616738</v>
      </c>
      <c r="G30" s="45">
        <f ca="1">AVERAGE(D30:F30)</f>
        <v>52631.95209021453</v>
      </c>
      <c r="H30" s="54"/>
      <c r="I30" s="3"/>
      <c r="J30" s="149" t="str">
        <f t="shared" si="0"/>
        <v>Labor excluding Owner</v>
      </c>
      <c r="K30" s="222">
        <f>+C30</f>
        <v>50000</v>
      </c>
      <c r="L30" s="49">
        <f ca="1">($C30+$C30*(L$5-$C$5)/$C$5*$C$59)*$D54/L58+($C32+$C32*(L$5-$C$5)/$C$5*$C$59)*$D54/L58-L32</f>
        <v>51992.1875</v>
      </c>
      <c r="M30" s="49">
        <f ca="1">($C30+$C30*(M$5-$C$5)/$C$5*$C$59)*$D54*$E54/L58/M58+($C32+$C32*(M$5-$C$5)/$C$5*$C$59)*$D54*$E54/L58/M58-M32</f>
        <v>53171.455383300781</v>
      </c>
      <c r="N30" s="50">
        <f ca="1">($C30+$C30*(N$5-$C$5)/$C$5*$C$59)*$D54*$E54*N54/L58/M58/N58+($C32+$C32*(N$5-$C$5)/$C$5*$C$59)*$D54*$E54*N54/L58/M58/N58-N32</f>
        <v>53300.516483190717</v>
      </c>
      <c r="O30" s="45">
        <f ca="1">AVERAGE(L30:N30)</f>
        <v>52821.386455497159</v>
      </c>
      <c r="P30" s="54"/>
      <c r="Q30" s="149" t="str">
        <f t="shared" si="1"/>
        <v>Labor excluding Owner</v>
      </c>
      <c r="R30" s="222">
        <f>+C30</f>
        <v>50000</v>
      </c>
      <c r="S30" s="49">
        <f ca="1">($C30+$C30*(S$5-$C$5)/$C$5*$C$59)*$D54/S58+($C32+$C32*(S$5-$C$5)/$C$5*$C$59)*$D54/S58-S32</f>
        <v>51052.12355212355</v>
      </c>
      <c r="T30" s="49">
        <f ca="1">($C30+$C30*(T$5-$C$5)/$C$5*$C$59)*$D54*$E54/S58/T58+($C32+$C32*(T$5-$C$5)/$C$5*$C$59)*$D54*$E54/S58/T58-T32</f>
        <v>52305.152312042075</v>
      </c>
      <c r="U30" s="50">
        <f ca="1">($C30+$C30*(U$5-$C$5)/$C$5*$C$59)*$D54*$E54*U54/S58/T58/U58+($C32+$C32*(U$5-$C$5)/$C$5*$C$59)*$D54*$E54*U54/S58/T58/U58-U32</f>
        <v>54027.243445578766</v>
      </c>
      <c r="V30" s="45">
        <f ca="1">AVERAGE(S30:U30)</f>
        <v>52461.506436581461</v>
      </c>
      <c r="W30" s="54"/>
    </row>
    <row r="31" spans="1:23" x14ac:dyDescent="0.25">
      <c r="A31" s="3"/>
      <c r="B31" s="34" t="s">
        <v>17</v>
      </c>
      <c r="C31" s="35">
        <f ca="1">+C30/C$5</f>
        <v>0.1</v>
      </c>
      <c r="D31" s="36">
        <f ca="1">+D30/D$5</f>
        <v>9.1883116883116872E-2</v>
      </c>
      <c r="E31" s="36">
        <f ca="1">+E30/E$5</f>
        <v>8.9567796815695988E-2</v>
      </c>
      <c r="F31" s="35">
        <f ca="1">+F30/F$5</f>
        <v>8.5820843488910697E-2</v>
      </c>
      <c r="G31" s="35">
        <f ca="1">+G30/G$5</f>
        <v>8.8979370249728559E-2</v>
      </c>
      <c r="H31" s="54"/>
      <c r="I31" s="3"/>
      <c r="J31" s="155" t="str">
        <f t="shared" si="0"/>
        <v>% Revenue</v>
      </c>
      <c r="K31" s="35">
        <f ca="1">+K30/K$5</f>
        <v>0.1</v>
      </c>
      <c r="L31" s="36">
        <f ca="1">+L30/L$5</f>
        <v>8.9690026954177896E-2</v>
      </c>
      <c r="M31" s="36">
        <f ca="1">+M30/M$5</f>
        <v>8.6532399545625027E-2</v>
      </c>
      <c r="N31" s="35">
        <f ca="1">+N30/N$5</f>
        <v>8.0714004551669924E-2</v>
      </c>
      <c r="O31" s="35">
        <f ca="1">+O30/O$5</f>
        <v>8.5447582481838785E-2</v>
      </c>
      <c r="P31" s="54"/>
      <c r="Q31" s="155" t="str">
        <f t="shared" si="1"/>
        <v>% Revenue</v>
      </c>
      <c r="R31" s="35">
        <f ca="1">+R30/R$5</f>
        <v>0.1</v>
      </c>
      <c r="S31" s="36">
        <f ca="1">+S30/S$5</f>
        <v>9.417735042735044E-2</v>
      </c>
      <c r="T31" s="36">
        <f ca="1">+T30/T$5</f>
        <v>9.2777739760155714E-2</v>
      </c>
      <c r="U31" s="35">
        <f ca="1">+U30/U$5</f>
        <v>9.1340206209925084E-2</v>
      </c>
      <c r="V31" s="35">
        <f ca="1">+V30/V$5</f>
        <v>9.272378173709564E-2</v>
      </c>
      <c r="W31" s="54"/>
    </row>
    <row r="32" spans="1:23" ht="13" x14ac:dyDescent="0.3">
      <c r="A32" s="3"/>
      <c r="B32" s="149" t="str">
        <f>+Input!B28</f>
        <v>Labor Owner</v>
      </c>
      <c r="C32" s="50">
        <f>IF(Input!C$15=Input!B$86,Input!C$28,Input!D$28)</f>
        <v>10000</v>
      </c>
      <c r="D32" s="49">
        <f ca="1">IF((($C32+$C32*(D$5-$C$5)/$C$5*$C$59)*$D54/D58)&lt;=D$60,(($C32+$C32*(D$5-$C$5)/$C$5*$C$59)*$D54/D58),D$60)</f>
        <v>10303.398058252427</v>
      </c>
      <c r="E32" s="49">
        <f ca="1">IF((($C32+$C32*(E$5-$C$5)/$C$5*$C$59)*$D54*E54/D58/E58)&lt;=E$60,(($C32+$C32*(E$5-$C$5)/$C$5*$C$59)*$D54*$E54/D58/E58),E$60)</f>
        <v>10545.955882352941</v>
      </c>
      <c r="F32" s="50">
        <f ca="1">IF((($C32+$C32*(F$5-$C$5)/$C$5*$C$59)*$D54*E54*F54/D58/E58/F58)&lt;=F$60,(($C32+$C32*(F$5-$C$5)/$C$5*$C$59)*$D54*$E54*F54/D58/E58/F58),F$60)</f>
        <v>10729.81731352335</v>
      </c>
      <c r="G32" s="45">
        <f ca="1">AVERAGE(D32:F32)</f>
        <v>10526.390418042907</v>
      </c>
      <c r="H32" s="54"/>
      <c r="I32" s="3"/>
      <c r="J32" s="149" t="str">
        <f t="shared" si="0"/>
        <v>Labor Owner</v>
      </c>
      <c r="K32" s="222">
        <f>+C32</f>
        <v>10000</v>
      </c>
      <c r="L32" s="49">
        <f ca="1">IF((($C32+$C32*(L$5-$C$5)/$C$5*$C$59)*$D54/L58)&lt;=L$60,(($C32+$C32*(L$5-$C$5)/$C$5*$C$59)*$D54/L58),L$60)</f>
        <v>10398.4375</v>
      </c>
      <c r="M32" s="49">
        <f ca="1">IF((($C32+$C32*(M$5-$C$5)/$C$5*$C$59)*$D54*M54/L58/M58)&lt;=M$60,(($C32+$C32*(M$5-$C$5)/$C$5*$C$59)*$D54*$E54/L58/M58),M$60)</f>
        <v>10634.291076660156</v>
      </c>
      <c r="N32" s="50">
        <f ca="1">IF((($C32+$C32*(N$5-$C$5)/$C$5*$C$59)*$D54*M54*N54/L58/M58/N58)&lt;=N$60,(($C32+$C32*(N$5-$C$5)/$C$5*$C$59)*$D54*$E54*N54/L58/M58/N58),N$60)</f>
        <v>10660.103296638141</v>
      </c>
      <c r="O32" s="45">
        <f ca="1">AVERAGE(L32:N32)</f>
        <v>10564.277291099432</v>
      </c>
      <c r="P32" s="54"/>
      <c r="Q32" s="149" t="str">
        <f t="shared" si="1"/>
        <v>Labor Owner</v>
      </c>
      <c r="R32" s="222">
        <f>+C32</f>
        <v>10000</v>
      </c>
      <c r="S32" s="49">
        <f ca="1">IF((($C32+$C32*(S$5-$C$5)/$C$5*$C$59)*$D54/S58)&lt;=S$60,(($C32+$C32*(S$5-$C$5)/$C$5*$C$59)*$D54/S58),S$60)</f>
        <v>10210.42471042471</v>
      </c>
      <c r="T32" s="49">
        <f ca="1">IF((($C32+$C32*(T$5-$C$5)/$C$5*$C$59)*$D54*T54/S58/T58)&lt;=T$60,(($C32+$C32*(T$5-$C$5)/$C$5*$C$59)*$D54*$E54/S58/T58),T$60)</f>
        <v>10461.030462408416</v>
      </c>
      <c r="U32" s="50">
        <f ca="1">IF((($C32+$C32*(U$5-$C$5)/$C$5*$C$59)*$D54*T54*U54/S58/T58/U58)&lt;=U$60,(($C32+$C32*(U$5-$C$5)/$C$5*$C$59)*$D54*$E54*U54/S58/T58/U58),U$60)</f>
        <v>10805.448689115756</v>
      </c>
      <c r="V32" s="45">
        <f ca="1">AVERAGE(S32:U32)</f>
        <v>10492.301287316295</v>
      </c>
      <c r="W32" s="54"/>
    </row>
    <row r="33" spans="1:23" x14ac:dyDescent="0.25">
      <c r="A33" s="3"/>
      <c r="B33" s="34" t="s">
        <v>17</v>
      </c>
      <c r="C33" s="35">
        <f ca="1">+C32/C$5</f>
        <v>0.02</v>
      </c>
      <c r="D33" s="36">
        <f ca="1">+D32/D$5</f>
        <v>1.8376623376623376E-2</v>
      </c>
      <c r="E33" s="36">
        <f ca="1">+E32/E$5</f>
        <v>1.7913559363139191E-2</v>
      </c>
      <c r="F33" s="35">
        <f ca="1">+F32/F$5</f>
        <v>1.7164168697782142E-2</v>
      </c>
      <c r="G33" s="35">
        <f ca="1">+G32/G$5</f>
        <v>1.7795874049945714E-2</v>
      </c>
      <c r="H33" s="54"/>
      <c r="I33" s="3"/>
      <c r="J33" s="155" t="str">
        <f t="shared" si="0"/>
        <v>% Revenue</v>
      </c>
      <c r="K33" s="35">
        <f ca="1">+K32/K$5</f>
        <v>0.02</v>
      </c>
      <c r="L33" s="36">
        <f ca="1">+L32/L$5</f>
        <v>1.7938005390835579E-2</v>
      </c>
      <c r="M33" s="36">
        <f ca="1">+M32/M$5</f>
        <v>1.7306479909125008E-2</v>
      </c>
      <c r="N33" s="35">
        <f ca="1">+N32/N$5</f>
        <v>1.6142800910333981E-2</v>
      </c>
      <c r="O33" s="35">
        <f ca="1">+O32/O$5</f>
        <v>1.7089516496367755E-2</v>
      </c>
      <c r="P33" s="54"/>
      <c r="Q33" s="155" t="str">
        <f t="shared" si="1"/>
        <v>% Revenue</v>
      </c>
      <c r="R33" s="35">
        <f ca="1">+R32/R$5</f>
        <v>0.02</v>
      </c>
      <c r="S33" s="36">
        <f ca="1">+S32/S$5</f>
        <v>1.8835470085470086E-2</v>
      </c>
      <c r="T33" s="36">
        <f ca="1">+T32/T$5</f>
        <v>1.8555547952031147E-2</v>
      </c>
      <c r="U33" s="35">
        <f ca="1">+U32/U$5</f>
        <v>1.8268041241985021E-2</v>
      </c>
      <c r="V33" s="35">
        <f ca="1">+V32/V$5</f>
        <v>1.8544756347419131E-2</v>
      </c>
      <c r="W33" s="54"/>
    </row>
    <row r="34" spans="1:23" ht="13" x14ac:dyDescent="0.3">
      <c r="A34" s="3"/>
      <c r="B34" s="149" t="str">
        <f>+Input!B29</f>
        <v>Interest Costs</v>
      </c>
      <c r="C34" s="50">
        <f>IF(Input!C$15=Input!B$86,Input!C$29,Input!D$29)</f>
        <v>0</v>
      </c>
      <c r="D34" s="49">
        <f>+$C34*D55</f>
        <v>0</v>
      </c>
      <c r="E34" s="49">
        <f>+$C34*D55*E55</f>
        <v>0</v>
      </c>
      <c r="F34" s="49">
        <f>+$C34*D55*E55*F55</f>
        <v>0</v>
      </c>
      <c r="G34" s="45">
        <f>AVERAGE(D34:F34)</f>
        <v>0</v>
      </c>
      <c r="H34" s="54"/>
      <c r="I34" s="3"/>
      <c r="J34" s="149" t="str">
        <f t="shared" si="0"/>
        <v>Interest Costs</v>
      </c>
      <c r="K34" s="222">
        <f>+C34</f>
        <v>0</v>
      </c>
      <c r="L34" s="49">
        <f>+$C34*L55</f>
        <v>0</v>
      </c>
      <c r="M34" s="49">
        <f>+$C34*L55*M55</f>
        <v>0</v>
      </c>
      <c r="N34" s="49">
        <f>+$C34*L55*M55*N55</f>
        <v>0</v>
      </c>
      <c r="O34" s="45">
        <f>AVERAGE(L34:N34)</f>
        <v>0</v>
      </c>
      <c r="P34" s="54"/>
      <c r="Q34" s="149" t="str">
        <f t="shared" si="1"/>
        <v>Interest Costs</v>
      </c>
      <c r="R34" s="222">
        <f>+C34</f>
        <v>0</v>
      </c>
      <c r="S34" s="49">
        <f>+$C34*S55</f>
        <v>0</v>
      </c>
      <c r="T34" s="49">
        <f>+$C34*S55*T55</f>
        <v>0</v>
      </c>
      <c r="U34" s="49">
        <f>+$C34*S55*T55*U55</f>
        <v>0</v>
      </c>
      <c r="V34" s="45">
        <f>AVERAGE(S34:U34)</f>
        <v>0</v>
      </c>
      <c r="W34" s="54"/>
    </row>
    <row r="35" spans="1:23" ht="12.75" customHeight="1" x14ac:dyDescent="0.25">
      <c r="A35" s="3"/>
      <c r="B35" s="34" t="s">
        <v>17</v>
      </c>
      <c r="C35" s="35">
        <f ca="1">+C34/C$5</f>
        <v>0</v>
      </c>
      <c r="D35" s="35">
        <f ca="1">+D34/D$5</f>
        <v>0</v>
      </c>
      <c r="E35" s="35">
        <f ca="1">+E34/E$5</f>
        <v>0</v>
      </c>
      <c r="F35" s="35">
        <f ca="1">+F34/F$5</f>
        <v>0</v>
      </c>
      <c r="G35" s="35">
        <f ca="1">+G34/G$5</f>
        <v>0</v>
      </c>
      <c r="H35" s="54"/>
      <c r="I35" s="3"/>
      <c r="J35" s="155" t="str">
        <f t="shared" si="0"/>
        <v>% Revenue</v>
      </c>
      <c r="K35" s="35">
        <f ca="1">+K34/K$5</f>
        <v>0</v>
      </c>
      <c r="L35" s="35">
        <f ca="1">+L34/L$5</f>
        <v>0</v>
      </c>
      <c r="M35" s="35">
        <f ca="1">+M34/M$5</f>
        <v>0</v>
      </c>
      <c r="N35" s="35">
        <f ca="1">+N34/N$5</f>
        <v>0</v>
      </c>
      <c r="O35" s="35">
        <f ca="1">+O34/O$5</f>
        <v>0</v>
      </c>
      <c r="P35" s="54"/>
      <c r="Q35" s="155" t="str">
        <f t="shared" si="1"/>
        <v>% Revenue</v>
      </c>
      <c r="R35" s="35">
        <f ca="1">+R34/R$5</f>
        <v>0</v>
      </c>
      <c r="S35" s="35">
        <f ca="1">+S34/S$5</f>
        <v>0</v>
      </c>
      <c r="T35" s="35">
        <f ca="1">+T34/T$5</f>
        <v>0</v>
      </c>
      <c r="U35" s="35">
        <f ca="1">+U34/U$5</f>
        <v>0</v>
      </c>
      <c r="V35" s="35">
        <f ca="1">+V34/V$5</f>
        <v>0</v>
      </c>
      <c r="W35" s="54"/>
    </row>
    <row r="36" spans="1:23" ht="13" x14ac:dyDescent="0.3">
      <c r="A36" s="3"/>
      <c r="B36" s="149" t="str">
        <f>+Input!B30</f>
        <v>Other</v>
      </c>
      <c r="C36" s="50">
        <f>IF(Input!C$15=Input!B$86,Input!C$30,Input!D$30)</f>
        <v>0</v>
      </c>
      <c r="D36" s="49">
        <f ca="1">($C36+$C36*(D$5-$C$5)/$C$5*$C$59)/D58</f>
        <v>0</v>
      </c>
      <c r="E36" s="49">
        <f ca="1">($C36+$C36*(E$5-$C$5)/$C$5*$C$59)/D58/E58</f>
        <v>0</v>
      </c>
      <c r="F36" s="50">
        <f ca="1">($C36+$C36*(F$5-$C$5)/$C$5*$C$59)/D58/E58/F58</f>
        <v>0</v>
      </c>
      <c r="G36" s="45">
        <f ca="1">AVERAGE(D36:F36)</f>
        <v>0</v>
      </c>
      <c r="H36" s="54"/>
      <c r="I36" s="3"/>
      <c r="J36" s="149" t="str">
        <f t="shared" si="0"/>
        <v>Other</v>
      </c>
      <c r="K36" s="222">
        <f>+C36</f>
        <v>0</v>
      </c>
      <c r="L36" s="49">
        <f ca="1">($C36+$C36*(L$5-$C$5)/$C$5*$C$59)/L58</f>
        <v>0</v>
      </c>
      <c r="M36" s="49">
        <f ca="1">($C36+$C36*(M$5-$C$5)/$C$5*$C$59)/L58/M58</f>
        <v>0</v>
      </c>
      <c r="N36" s="50">
        <f ca="1">($C36+$C36*(N$5-$C$5)/$C$5*$C$59)/L58/M58/N58</f>
        <v>0</v>
      </c>
      <c r="O36" s="45">
        <f ca="1">AVERAGE(L36:N36)</f>
        <v>0</v>
      </c>
      <c r="P36" s="54"/>
      <c r="Q36" s="149" t="str">
        <f t="shared" si="1"/>
        <v>Other</v>
      </c>
      <c r="R36" s="222">
        <f>+C36</f>
        <v>0</v>
      </c>
      <c r="S36" s="49">
        <f ca="1">($C36+$C36*(S$5-$C$5)/$C$5*$C$59)/S58</f>
        <v>0</v>
      </c>
      <c r="T36" s="49">
        <f ca="1">($C36+$C36*(T$5-$C$5)/$C$5*$C$59)/S58/T58</f>
        <v>0</v>
      </c>
      <c r="U36" s="50">
        <f ca="1">($C36+$C36*(U$5-$C$5)/$C$5*$C$59)/S58/T58/U58</f>
        <v>0</v>
      </c>
      <c r="V36" s="45">
        <f ca="1">AVERAGE(S36:U36)</f>
        <v>0</v>
      </c>
      <c r="W36" s="54"/>
    </row>
    <row r="37" spans="1:23" x14ac:dyDescent="0.25">
      <c r="A37" s="3"/>
      <c r="B37" s="34" t="s">
        <v>17</v>
      </c>
      <c r="C37" s="35">
        <f ca="1">+C36/C$5</f>
        <v>0</v>
      </c>
      <c r="D37" s="36">
        <f ca="1">+D36/D$5</f>
        <v>0</v>
      </c>
      <c r="E37" s="36">
        <f ca="1">+E36/E$5</f>
        <v>0</v>
      </c>
      <c r="F37" s="35">
        <f ca="1">+F36/F$5</f>
        <v>0</v>
      </c>
      <c r="G37" s="35">
        <f ca="1">+G36/G$5</f>
        <v>0</v>
      </c>
      <c r="H37" s="54"/>
      <c r="I37" s="3"/>
      <c r="J37" s="155" t="str">
        <f t="shared" si="0"/>
        <v>% Revenue</v>
      </c>
      <c r="K37" s="35">
        <f ca="1">+K36/K$5</f>
        <v>0</v>
      </c>
      <c r="L37" s="36">
        <f ca="1">+L36/L$5</f>
        <v>0</v>
      </c>
      <c r="M37" s="36">
        <f ca="1">+M36/M$5</f>
        <v>0</v>
      </c>
      <c r="N37" s="35">
        <f ca="1">+N36/N$5</f>
        <v>0</v>
      </c>
      <c r="O37" s="35">
        <f ca="1">+O36/O$5</f>
        <v>0</v>
      </c>
      <c r="P37" s="54"/>
      <c r="Q37" s="155" t="str">
        <f t="shared" si="1"/>
        <v>% Revenue</v>
      </c>
      <c r="R37" s="35">
        <f ca="1">+R36/R$5</f>
        <v>0</v>
      </c>
      <c r="S37" s="36">
        <f ca="1">+S36/S$5</f>
        <v>0</v>
      </c>
      <c r="T37" s="36">
        <f ca="1">+T36/T$5</f>
        <v>0</v>
      </c>
      <c r="U37" s="35">
        <f ca="1">+U36/U$5</f>
        <v>0</v>
      </c>
      <c r="V37" s="35">
        <f ca="1">+V36/V$5</f>
        <v>0</v>
      </c>
      <c r="W37" s="54"/>
    </row>
    <row r="38" spans="1:23" ht="13" x14ac:dyDescent="0.3">
      <c r="A38" s="3"/>
      <c r="B38" s="149" t="str">
        <f>+Input!B31</f>
        <v>Total Fixed Costs</v>
      </c>
      <c r="C38" s="51">
        <f>+C26+C28+C30+C32+C36+C34</f>
        <v>130000</v>
      </c>
      <c r="D38" s="51">
        <f ca="1">+D26+D28+D30+D32+D36+D34</f>
        <v>133944.17475728155</v>
      </c>
      <c r="E38" s="51">
        <f ca="1">+E26+E28+E30+E32+E36+E34</f>
        <v>135766.38349514565</v>
      </c>
      <c r="F38" s="51">
        <f ca="1">+F26+F28+F30+F32+F36+F34</f>
        <v>136645.19080828209</v>
      </c>
      <c r="G38" s="45">
        <f ca="1">AVERAGE(D38:F38)</f>
        <v>135451.91635356974</v>
      </c>
      <c r="H38" s="54"/>
      <c r="I38" s="3"/>
      <c r="J38" s="149" t="str">
        <f t="shared" si="0"/>
        <v>Total Fixed Costs</v>
      </c>
      <c r="K38" s="51">
        <f>+K26+K28+K30+K32+K36+K34</f>
        <v>130000</v>
      </c>
      <c r="L38" s="51">
        <f ca="1">+L26+L28+L30+L32+L36+L34</f>
        <v>135179.6875</v>
      </c>
      <c r="M38" s="51">
        <f ca="1">+M26+M28+M30+M32+M36+M34</f>
        <v>137068.78479003906</v>
      </c>
      <c r="N38" s="51">
        <f ca="1">+N26+N28+N30+N32+N36+N34</f>
        <v>137022.53163487557</v>
      </c>
      <c r="O38" s="45">
        <f ca="1">AVERAGE(L38:N38)</f>
        <v>136423.66797497155</v>
      </c>
      <c r="P38" s="54"/>
      <c r="Q38" s="149" t="str">
        <f t="shared" si="1"/>
        <v>Total Fixed Costs</v>
      </c>
      <c r="R38" s="51">
        <f>+R26+R28+R30+R32+R36+R34</f>
        <v>130000</v>
      </c>
      <c r="S38" s="51">
        <f ca="1">+S26+S28+S30+S32+S36+S34</f>
        <v>132735.52123552124</v>
      </c>
      <c r="T38" s="51">
        <f ca="1">+T26+T28+T30+T32+T36+T34</f>
        <v>134510.57033411364</v>
      </c>
      <c r="U38" s="51">
        <f ca="1">+U26+U28+U30+U32+U36+U34</f>
        <v>136353.32162619143</v>
      </c>
      <c r="V38" s="45">
        <f ca="1">AVERAGE(S38:U38)</f>
        <v>134533.13773194209</v>
      </c>
      <c r="W38" s="54"/>
    </row>
    <row r="39" spans="1:23" ht="13" x14ac:dyDescent="0.25">
      <c r="A39" s="3"/>
      <c r="B39" s="34" t="str">
        <f>+'Expected Results'!B40</f>
        <v>Total Fixed Costs %</v>
      </c>
      <c r="C39" s="38">
        <f ca="1">IF(C38=0,0,+C38/C$5)</f>
        <v>0.26</v>
      </c>
      <c r="D39" s="38">
        <f ca="1">IF(D38=0,0,+D38/D$5)</f>
        <v>0.23889610389610388</v>
      </c>
      <c r="E39" s="38">
        <f ca="1">IF(E38=0,0,+E38/E$5)</f>
        <v>0.23061533704390849</v>
      </c>
      <c r="F39" s="38">
        <f ca="1">IF(F38=0,0,+F38/F$5)</f>
        <v>0.21858723576010486</v>
      </c>
      <c r="G39" s="38">
        <f ca="1">IF(G38=0,0,+G38/G$5)</f>
        <v>0.22899447460358141</v>
      </c>
      <c r="H39" s="54"/>
      <c r="I39" s="3"/>
      <c r="J39" s="155" t="str">
        <f t="shared" si="0"/>
        <v>Total Fixed Costs %</v>
      </c>
      <c r="K39" s="38">
        <f ca="1">IF(K38=0,0,+K38/K$5)</f>
        <v>0.26</v>
      </c>
      <c r="L39" s="38">
        <f ca="1">IF(L38=0,0,+L38/L$5)</f>
        <v>0.23319407008086254</v>
      </c>
      <c r="M39" s="38">
        <f ca="1">IF(M38=0,0,+M38/M$5)</f>
        <v>0.22306876434324621</v>
      </c>
      <c r="N39" s="38">
        <f ca="1">IF(N38=0,0,+N38/N$5)</f>
        <v>0.20749587380727427</v>
      </c>
      <c r="O39" s="38">
        <f ca="1">IF(O38=0,0,+O38/O$5)</f>
        <v>0.2206885014574094</v>
      </c>
      <c r="P39" s="54"/>
      <c r="Q39" s="155" t="str">
        <f t="shared" si="1"/>
        <v>Total Fixed Costs %</v>
      </c>
      <c r="R39" s="38">
        <f ca="1">IF(R38=0,0,+R38/R$5)</f>
        <v>0.26</v>
      </c>
      <c r="S39" s="38">
        <f ca="1">IF(S38=0,0,+S38/S$5)</f>
        <v>0.24486111111111117</v>
      </c>
      <c r="T39" s="38">
        <f ca="1">IF(T38=0,0,+T38/T$5)</f>
        <v>0.23859191949194219</v>
      </c>
      <c r="U39" s="38">
        <f ca="1">IF(U38=0,0,+U38/U$5)</f>
        <v>0.23052333823564269</v>
      </c>
      <c r="V39" s="38">
        <f ca="1">IF(V38=0,0,+V38/V$5)</f>
        <v>0.2377823693367066</v>
      </c>
      <c r="W39" s="54"/>
    </row>
    <row r="40" spans="1:23" ht="13" x14ac:dyDescent="0.3">
      <c r="A40" s="3"/>
      <c r="B40" s="31"/>
      <c r="C40" s="35"/>
      <c r="D40" s="39"/>
      <c r="E40" s="39"/>
      <c r="F40" s="38"/>
      <c r="G40" s="60"/>
      <c r="H40" s="54"/>
      <c r="I40" s="3"/>
      <c r="J40" s="149"/>
      <c r="K40" s="35"/>
      <c r="L40" s="39"/>
      <c r="M40" s="39"/>
      <c r="N40" s="38"/>
      <c r="O40" s="60"/>
      <c r="P40" s="54"/>
      <c r="Q40" s="149"/>
      <c r="R40" s="35"/>
      <c r="S40" s="39"/>
      <c r="T40" s="39"/>
      <c r="U40" s="38"/>
      <c r="V40" s="60"/>
      <c r="W40" s="54"/>
    </row>
    <row r="41" spans="1:23" ht="13" x14ac:dyDescent="0.3">
      <c r="A41" s="3"/>
      <c r="B41" s="19" t="str">
        <f>+'Expected Results'!B42</f>
        <v>Total Expenses</v>
      </c>
      <c r="C41" s="51">
        <f>+C20+C38</f>
        <v>440000</v>
      </c>
      <c r="D41" s="52">
        <f ca="1">+D20+D38</f>
        <v>471984.98916014691</v>
      </c>
      <c r="E41" s="52">
        <f ca="1">+E20+E38</f>
        <v>482544.00155528332</v>
      </c>
      <c r="F41" s="51">
        <f ca="1">+F20+F38</f>
        <v>519756.99142884079</v>
      </c>
      <c r="G41" s="45">
        <f ca="1">AVERAGE(D41:F41)</f>
        <v>491428.66071475699</v>
      </c>
      <c r="H41" s="54"/>
      <c r="I41" s="3"/>
      <c r="J41" s="156" t="str">
        <f t="shared" si="0"/>
        <v>Total Expenses</v>
      </c>
      <c r="K41" s="51">
        <f>+K20+K38</f>
        <v>440000</v>
      </c>
      <c r="L41" s="52">
        <f ca="1">+L20+L38</f>
        <v>482656.4611486487</v>
      </c>
      <c r="M41" s="52">
        <f ca="1">+M20+M38</f>
        <v>491847.6065805796</v>
      </c>
      <c r="N41" s="51">
        <f ca="1">+N20+N38</f>
        <v>530614.70940977172</v>
      </c>
      <c r="O41" s="45">
        <f ca="1">AVERAGE(L41:N41)</f>
        <v>501706.25904633338</v>
      </c>
      <c r="P41" s="54"/>
      <c r="Q41" s="156" t="str">
        <f t="shared" si="1"/>
        <v>Total Expenses</v>
      </c>
      <c r="R41" s="51">
        <f>+R20+R38</f>
        <v>440000</v>
      </c>
      <c r="S41" s="52">
        <f ca="1">+S20+S38</f>
        <v>461480.39333976834</v>
      </c>
      <c r="T41" s="52">
        <f ca="1">+T20+T38</f>
        <v>473340.12812851521</v>
      </c>
      <c r="U41" s="51">
        <f ca="1">+U20+U38</f>
        <v>509108.92324654723</v>
      </c>
      <c r="V41" s="45">
        <f ca="1">AVERAGE(S41:U41)</f>
        <v>481309.81490494357</v>
      </c>
      <c r="W41" s="54"/>
    </row>
    <row r="42" spans="1:23" ht="13" x14ac:dyDescent="0.3">
      <c r="A42" s="3"/>
      <c r="B42" s="41"/>
      <c r="C42" s="33"/>
      <c r="D42" s="32"/>
      <c r="E42" s="32"/>
      <c r="F42" s="33"/>
      <c r="G42" s="60"/>
      <c r="H42" s="54"/>
      <c r="I42" s="3"/>
      <c r="J42" s="149"/>
      <c r="K42" s="33"/>
      <c r="L42" s="32"/>
      <c r="M42" s="32"/>
      <c r="N42" s="33"/>
      <c r="O42" s="60"/>
      <c r="P42" s="54"/>
      <c r="Q42" s="149"/>
      <c r="R42" s="33"/>
      <c r="S42" s="32"/>
      <c r="T42" s="32"/>
      <c r="U42" s="33"/>
      <c r="V42" s="60"/>
      <c r="W42" s="54"/>
    </row>
    <row r="43" spans="1:23" ht="13" x14ac:dyDescent="0.3">
      <c r="A43" s="3"/>
      <c r="B43" s="151" t="str">
        <f>+Input!B32</f>
        <v>Operating Surplus</v>
      </c>
      <c r="C43" s="51">
        <f ca="1">+C5-C41</f>
        <v>60000</v>
      </c>
      <c r="D43" s="52">
        <f ca="1">+D5-D41</f>
        <v>88694.622490338515</v>
      </c>
      <c r="E43" s="52">
        <f ca="1">+E5-E41</f>
        <v>106169.59067772643</v>
      </c>
      <c r="F43" s="51">
        <f ca="1">+F5-F41</f>
        <v>105371.87455054082</v>
      </c>
      <c r="G43" s="45">
        <f ca="1">AVERAGE(D43:F43)</f>
        <v>100078.69590620192</v>
      </c>
      <c r="H43" s="54"/>
      <c r="I43" s="3"/>
      <c r="J43" s="156" t="str">
        <f t="shared" si="0"/>
        <v>Operating Surplus</v>
      </c>
      <c r="K43" s="51">
        <f ca="1">+K5-K41</f>
        <v>60000</v>
      </c>
      <c r="L43" s="52">
        <f ca="1">+L5-L41</f>
        <v>97031.038851351303</v>
      </c>
      <c r="M43" s="52">
        <f ca="1">+M5-M41</f>
        <v>122621.1434194204</v>
      </c>
      <c r="N43" s="51">
        <f ca="1">+N5-N41</f>
        <v>129747.972125498</v>
      </c>
      <c r="O43" s="45">
        <f ca="1">AVERAGE(L43:N43)</f>
        <v>116466.7181320899</v>
      </c>
      <c r="P43" s="54"/>
      <c r="Q43" s="156" t="str">
        <f t="shared" si="1"/>
        <v>Operating Surplus</v>
      </c>
      <c r="R43" s="51">
        <f ca="1">+R5-R41</f>
        <v>60000</v>
      </c>
      <c r="S43" s="52">
        <f ca="1">+S5-S41</f>
        <v>80604.54874517367</v>
      </c>
      <c r="T43" s="52">
        <f ca="1">+T5-T41</f>
        <v>90428.211639824556</v>
      </c>
      <c r="U43" s="51">
        <f ca="1">+U5-U41</f>
        <v>82385.728313678061</v>
      </c>
      <c r="V43" s="45">
        <f ca="1">AVERAGE(S43:U43)</f>
        <v>84472.829566225424</v>
      </c>
      <c r="W43" s="54"/>
    </row>
    <row r="44" spans="1:23" ht="12.75" customHeight="1" x14ac:dyDescent="0.25">
      <c r="A44" s="3"/>
      <c r="B44" s="34" t="str">
        <f>+'Expected Results'!B45</f>
        <v>Operating Surplus %</v>
      </c>
      <c r="C44" s="38">
        <f ca="1">IF(C43=0,0,+C43/C$5)</f>
        <v>0.12</v>
      </c>
      <c r="D44" s="38">
        <f ca="1">IF(D43=0,0,+D43/D$5)</f>
        <v>0.15819127474467304</v>
      </c>
      <c r="E44" s="38">
        <f ca="1">IF(E43=0,0,+E43/E$5)</f>
        <v>0.18034166711697913</v>
      </c>
      <c r="F44" s="38">
        <f ca="1">IF(F43=0,0,+F43/F$5)</f>
        <v>0.16856024459125882</v>
      </c>
      <c r="G44" s="38">
        <f ca="1">IF(G43=0,0,+G43/G$5)</f>
        <v>0.16919264787831351</v>
      </c>
      <c r="H44" s="54"/>
      <c r="I44" s="3"/>
      <c r="J44" s="155" t="str">
        <f t="shared" si="0"/>
        <v>Operating Surplus %</v>
      </c>
      <c r="K44" s="38">
        <f ca="1">IF(K43=0,0,+K43/K$5)</f>
        <v>0.12</v>
      </c>
      <c r="L44" s="38">
        <f ca="1">IF(L43=0,0,+L43/L$5)</f>
        <v>0.16738508049828796</v>
      </c>
      <c r="M44" s="38">
        <f ca="1">IF(M43=0,0,+M43/M$5)</f>
        <v>0.19955635403658917</v>
      </c>
      <c r="N44" s="38">
        <f ca="1">IF(N43=0,0,+N43/N$5)</f>
        <v>0.19647986743261808</v>
      </c>
      <c r="O44" s="38">
        <f ca="1">IF(O43=0,0,+O43/O$5)</f>
        <v>0.1884047385307723</v>
      </c>
      <c r="P44" s="54"/>
      <c r="Q44" s="155" t="str">
        <f t="shared" si="1"/>
        <v>Operating Surplus %</v>
      </c>
      <c r="R44" s="38">
        <f ca="1">IF(R43=0,0,+R43/R$5)</f>
        <v>0.12</v>
      </c>
      <c r="S44" s="38">
        <f ca="1">IF(S43=0,0,+S43/S$5)</f>
        <v>0.14869357638888878</v>
      </c>
      <c r="T44" s="38">
        <f ca="1">IF(T43=0,0,+T43/T$5)</f>
        <v>0.16039959192632697</v>
      </c>
      <c r="U44" s="38">
        <f ca="1">IF(U43=0,0,+U43/U$5)</f>
        <v>0.13928397847108789</v>
      </c>
      <c r="V44" s="38">
        <f ca="1">IF(V43=0,0,+V43/V$5)</f>
        <v>0.14930261716525656</v>
      </c>
      <c r="W44" s="54"/>
    </row>
    <row r="45" spans="1:23" ht="13" x14ac:dyDescent="0.3">
      <c r="A45" s="3"/>
      <c r="B45" s="42"/>
      <c r="C45" s="38"/>
      <c r="D45" s="38"/>
      <c r="E45" s="38"/>
      <c r="F45" s="38"/>
      <c r="G45" s="60"/>
      <c r="H45" s="57"/>
      <c r="I45" s="3"/>
      <c r="J45" s="149"/>
      <c r="K45" s="38"/>
      <c r="L45" s="38"/>
      <c r="M45" s="38"/>
      <c r="N45" s="38"/>
      <c r="O45" s="60"/>
      <c r="P45" s="57"/>
      <c r="Q45" s="149"/>
      <c r="R45" s="38"/>
      <c r="S45" s="38"/>
      <c r="T45" s="38"/>
      <c r="U45" s="38"/>
      <c r="V45" s="60"/>
      <c r="W45" s="57"/>
    </row>
    <row r="46" spans="1:23" ht="13" x14ac:dyDescent="0.3">
      <c r="A46" s="3"/>
      <c r="B46" s="152" t="str">
        <f>+Input!B33</f>
        <v>Owner Cash Flow</v>
      </c>
      <c r="C46" s="52">
        <f ca="1">+C43+C12+C32</f>
        <v>120000</v>
      </c>
      <c r="D46" s="51">
        <f ca="1">+D43+D12+D32</f>
        <v>148694.62249033854</v>
      </c>
      <c r="E46" s="51">
        <f ca="1">+E43+E12+E32</f>
        <v>167969.59067772643</v>
      </c>
      <c r="F46" s="51">
        <f ca="1">+F43+F12+F32</f>
        <v>170261.87455054082</v>
      </c>
      <c r="G46" s="45">
        <f ca="1">AVERAGE(D46:F46)</f>
        <v>162308.69590620193</v>
      </c>
      <c r="H46" s="58"/>
      <c r="I46" s="3"/>
      <c r="J46" s="156" t="str">
        <f t="shared" si="0"/>
        <v>Owner Cash Flow</v>
      </c>
      <c r="K46" s="51">
        <f ca="1">+K43+K12+K32</f>
        <v>120000</v>
      </c>
      <c r="L46" s="51">
        <f ca="1">+L43+L12+L32</f>
        <v>157031.0388513513</v>
      </c>
      <c r="M46" s="51">
        <f ca="1">+M43+M12+M32</f>
        <v>184421.1434194204</v>
      </c>
      <c r="N46" s="51">
        <f ca="1">+N43+N12+N32</f>
        <v>194637.972125498</v>
      </c>
      <c r="O46" s="45">
        <f ca="1">AVERAGE(L46:N46)</f>
        <v>178696.71813208991</v>
      </c>
      <c r="P46" s="58"/>
      <c r="Q46" s="156" t="str">
        <f t="shared" si="1"/>
        <v>Owner Cash Flow</v>
      </c>
      <c r="R46" s="51">
        <f ca="1">+R43+R12+R32</f>
        <v>120000</v>
      </c>
      <c r="S46" s="51">
        <f ca="1">+S43+S12+S32</f>
        <v>140604.54874517367</v>
      </c>
      <c r="T46" s="51">
        <f ca="1">+T43+T12+T32</f>
        <v>152228.21163982456</v>
      </c>
      <c r="U46" s="51">
        <f ca="1">+U43+U12+U32</f>
        <v>147275.72831367806</v>
      </c>
      <c r="V46" s="45">
        <f ca="1">AVERAGE(S46:U46)</f>
        <v>146702.82956622544</v>
      </c>
      <c r="W46" s="58"/>
    </row>
    <row r="47" spans="1:23" ht="13" x14ac:dyDescent="0.25">
      <c r="A47" s="3"/>
      <c r="B47" s="34" t="str">
        <f>+'Expected Results'!B48</f>
        <v>Owner Cash Flow %</v>
      </c>
      <c r="C47" s="43">
        <f ca="1">IF(C46=0,0,+C46/C$5)</f>
        <v>0.24</v>
      </c>
      <c r="D47" s="38">
        <f ca="1">IF(D46=0,0,+D46/D$5)</f>
        <v>0.2652042617576601</v>
      </c>
      <c r="E47" s="38">
        <f ca="1">IF(E46=0,0,+E46/E$5)</f>
        <v>0.28531631152019493</v>
      </c>
      <c r="F47" s="43">
        <f ca="1">IF(F46=0,0,+F46/F$5)</f>
        <v>0.27236284199385619</v>
      </c>
      <c r="G47" s="43">
        <f ca="1">IF(G46=0,0,+G46/G$5)</f>
        <v>0.27439844000149982</v>
      </c>
      <c r="H47" s="23"/>
      <c r="I47" s="3"/>
      <c r="J47" s="155" t="str">
        <f t="shared" si="0"/>
        <v>Owner Cash Flow %</v>
      </c>
      <c r="K47" s="43">
        <f ca="1">IF(K46=0,0,+K46/K$5)</f>
        <v>0.24</v>
      </c>
      <c r="L47" s="38">
        <f ca="1">IF(L46=0,0,+L46/L$5)</f>
        <v>0.27088912362497258</v>
      </c>
      <c r="M47" s="38">
        <f ca="1">IF(M46=0,0,+M46/M$5)</f>
        <v>0.3001310374521412</v>
      </c>
      <c r="N47" s="43">
        <f ca="1">IF(N46=0,0,+N46/N$5)</f>
        <v>0.29474405136429938</v>
      </c>
      <c r="O47" s="43">
        <f ca="1">IF(O46=0,0,+O46/O$5)</f>
        <v>0.28907235471166948</v>
      </c>
      <c r="P47" s="23"/>
      <c r="Q47" s="155" t="str">
        <f t="shared" si="1"/>
        <v>Owner Cash Flow %</v>
      </c>
      <c r="R47" s="43">
        <f ca="1">IF(R46=0,0,+R46/R$5)</f>
        <v>0.24</v>
      </c>
      <c r="S47" s="38">
        <f ca="1">IF(S46=0,0,+S46/S$5)</f>
        <v>0.25937733707264948</v>
      </c>
      <c r="T47" s="38">
        <f ca="1">IF(T46=0,0,+T46/T$5)</f>
        <v>0.27001908568043614</v>
      </c>
      <c r="U47" s="43">
        <f ca="1">IF(U46=0,0,+U46/U$5)</f>
        <v>0.24898911245469244</v>
      </c>
      <c r="V47" s="43">
        <f ca="1">IF(V46=0,0,+V46/V$5)</f>
        <v>0.25929185173812991</v>
      </c>
      <c r="W47" s="23"/>
    </row>
    <row r="48" spans="1:23" x14ac:dyDescent="0.25">
      <c r="A48" s="3"/>
      <c r="B48" s="479"/>
      <c r="C48" s="480"/>
      <c r="D48" s="480"/>
      <c r="E48" s="480"/>
      <c r="F48" s="480"/>
      <c r="G48" s="157"/>
      <c r="H48" s="158"/>
      <c r="I48" s="159"/>
      <c r="J48" s="479"/>
      <c r="K48" s="480"/>
      <c r="L48" s="480"/>
      <c r="M48" s="480"/>
      <c r="N48" s="480"/>
      <c r="O48" s="157"/>
      <c r="P48" s="158"/>
      <c r="Q48" s="479"/>
      <c r="R48" s="480"/>
      <c r="S48" s="480"/>
      <c r="T48" s="480"/>
      <c r="U48" s="480"/>
      <c r="V48" s="157"/>
      <c r="W48" s="54"/>
    </row>
    <row r="49" spans="1:23" x14ac:dyDescent="0.25">
      <c r="A49" s="3"/>
      <c r="B49" s="481" t="s">
        <v>23</v>
      </c>
      <c r="C49" s="482"/>
      <c r="D49" s="482"/>
      <c r="E49" s="482"/>
      <c r="F49" s="160"/>
      <c r="G49" s="161"/>
      <c r="H49" s="158"/>
      <c r="I49" s="159"/>
      <c r="J49" s="481" t="s">
        <v>23</v>
      </c>
      <c r="K49" s="482"/>
      <c r="L49" s="482"/>
      <c r="M49" s="482"/>
      <c r="N49" s="160"/>
      <c r="O49" s="161"/>
      <c r="P49" s="158"/>
      <c r="Q49" s="481" t="s">
        <v>23</v>
      </c>
      <c r="R49" s="482"/>
      <c r="S49" s="482"/>
      <c r="T49" s="482"/>
      <c r="U49" s="160"/>
      <c r="V49" s="161"/>
      <c r="W49" s="54"/>
    </row>
    <row r="50" spans="1:23" ht="13" x14ac:dyDescent="0.25">
      <c r="A50" s="3"/>
      <c r="B50" s="162" t="str">
        <f>+Input!B38</f>
        <v>Relative Indicator</v>
      </c>
      <c r="C50" s="163" t="str">
        <f>+'Expected Results'!C5</f>
        <v>Current Year</v>
      </c>
      <c r="D50" s="163" t="str">
        <f>+'Expected Results'!D5</f>
        <v>Year 1</v>
      </c>
      <c r="E50" s="163" t="str">
        <f>+'Expected Results'!E5</f>
        <v>Year 2</v>
      </c>
      <c r="F50" s="163" t="str">
        <f>+'Expected Results'!F5</f>
        <v>Year 3</v>
      </c>
      <c r="G50" s="158"/>
      <c r="H50" s="158"/>
      <c r="I50" s="159"/>
      <c r="J50" s="162" t="str">
        <f>+$B50</f>
        <v>Relative Indicator</v>
      </c>
      <c r="K50" s="163" t="str">
        <f>+C50</f>
        <v>Current Year</v>
      </c>
      <c r="L50" s="163" t="str">
        <f>+D50</f>
        <v>Year 1</v>
      </c>
      <c r="M50" s="163" t="str">
        <f>+E50</f>
        <v>Year 2</v>
      </c>
      <c r="N50" s="163" t="str">
        <f>+F50</f>
        <v>Year 3</v>
      </c>
      <c r="O50" s="158"/>
      <c r="P50" s="158"/>
      <c r="Q50" s="162" t="str">
        <f>+$B50</f>
        <v>Relative Indicator</v>
      </c>
      <c r="R50" s="163" t="str">
        <f>+C50</f>
        <v>Current Year</v>
      </c>
      <c r="S50" s="163" t="str">
        <f>+D50</f>
        <v>Year 1</v>
      </c>
      <c r="T50" s="163" t="str">
        <f>+E50</f>
        <v>Year 2</v>
      </c>
      <c r="U50" s="163" t="str">
        <f>+F50</f>
        <v>Year 3</v>
      </c>
      <c r="V50" s="158"/>
      <c r="W50" s="54"/>
    </row>
    <row r="51" spans="1:23" ht="13" x14ac:dyDescent="0.25">
      <c r="A51" s="3"/>
      <c r="B51" s="164" t="str">
        <f>+Input!B39</f>
        <v>Level of Competition</v>
      </c>
      <c r="C51" s="165">
        <v>1</v>
      </c>
      <c r="D51" s="282">
        <f>+Input!C39</f>
        <v>1.03</v>
      </c>
      <c r="E51" s="283">
        <f>+Input!D39</f>
        <v>1</v>
      </c>
      <c r="F51" s="283">
        <f>+Input!E39</f>
        <v>0.97</v>
      </c>
      <c r="G51" s="158"/>
      <c r="H51" s="158"/>
      <c r="I51" s="159"/>
      <c r="J51" s="164" t="str">
        <f>+$B51</f>
        <v>Level of Competition</v>
      </c>
      <c r="K51" s="165">
        <v>1</v>
      </c>
      <c r="L51" s="282">
        <f>D51-(ABS(1-D51)*$K$2)</f>
        <v>1.024</v>
      </c>
      <c r="M51" s="282">
        <f>E51-(ABS(1-E51)*$K$2)</f>
        <v>1</v>
      </c>
      <c r="N51" s="282">
        <f>F51-(ABS(1-F51)*$K$2)</f>
        <v>0.96399999999999997</v>
      </c>
      <c r="O51" s="158"/>
      <c r="P51" s="158"/>
      <c r="Q51" s="164" t="str">
        <f>+$B51</f>
        <v>Level of Competition</v>
      </c>
      <c r="R51" s="165">
        <v>1</v>
      </c>
      <c r="S51" s="282">
        <f>D51+(ABS(1-D51)*$R$2)</f>
        <v>1.036</v>
      </c>
      <c r="T51" s="282">
        <f>E51+(ABS(1-E51)*$R$2)</f>
        <v>1</v>
      </c>
      <c r="U51" s="282">
        <f>F51+(ABS(1-F51)*$R$2)</f>
        <v>0.97599999999999998</v>
      </c>
      <c r="V51" s="158"/>
      <c r="W51" s="54"/>
    </row>
    <row r="52" spans="1:23" ht="13" x14ac:dyDescent="0.25">
      <c r="A52" s="3"/>
      <c r="B52" s="164" t="str">
        <f>+Input!B40</f>
        <v>Market Strength</v>
      </c>
      <c r="C52" s="166">
        <v>1</v>
      </c>
      <c r="D52" s="284">
        <f>+Input!C40</f>
        <v>1.05</v>
      </c>
      <c r="E52" s="167">
        <f>+Input!D40</f>
        <v>1</v>
      </c>
      <c r="F52" s="167">
        <f>+Input!E40</f>
        <v>1</v>
      </c>
      <c r="G52" s="158"/>
      <c r="H52" s="158"/>
      <c r="I52" s="159"/>
      <c r="J52" s="164" t="str">
        <f t="shared" ref="J52:J59" si="2">+$B52</f>
        <v>Market Strength</v>
      </c>
      <c r="K52" s="166">
        <v>1</v>
      </c>
      <c r="L52" s="284">
        <f>D52+(ABS(1-D52)*$K$2)</f>
        <v>1.06</v>
      </c>
      <c r="M52" s="284">
        <f>E52+(ABS(1-E52)*$K$2)</f>
        <v>1</v>
      </c>
      <c r="N52" s="284">
        <f>F52+(ABS(1-F52)*$K$2)</f>
        <v>1</v>
      </c>
      <c r="O52" s="158"/>
      <c r="P52" s="158"/>
      <c r="Q52" s="164" t="str">
        <f t="shared" ref="Q52:Q59" si="3">+$B52</f>
        <v>Market Strength</v>
      </c>
      <c r="R52" s="166">
        <v>1</v>
      </c>
      <c r="S52" s="284">
        <f>D52-(ABS(1-D52)*$R$2)</f>
        <v>1.04</v>
      </c>
      <c r="T52" s="284">
        <f>E52-(ABS(1-E52)*$R$2)</f>
        <v>1</v>
      </c>
      <c r="U52" s="284">
        <f>F52-(ABS(1-F52)*$R$2)</f>
        <v>1</v>
      </c>
      <c r="V52" s="158"/>
      <c r="W52" s="54"/>
    </row>
    <row r="53" spans="1:23" ht="12.75" customHeight="1" x14ac:dyDescent="0.25">
      <c r="A53" s="3"/>
      <c r="B53" s="164" t="str">
        <f>+Input!B41</f>
        <v>Materials &amp; Supplies Costs</v>
      </c>
      <c r="C53" s="166">
        <v>1</v>
      </c>
      <c r="D53" s="284">
        <f>+Input!C41</f>
        <v>1.05</v>
      </c>
      <c r="E53" s="167">
        <f>+Input!D41</f>
        <v>1.05</v>
      </c>
      <c r="F53" s="167">
        <f>+Input!E41</f>
        <v>1</v>
      </c>
      <c r="G53" s="158"/>
      <c r="H53" s="158"/>
      <c r="I53" s="159"/>
      <c r="J53" s="164" t="str">
        <f t="shared" si="2"/>
        <v>Materials &amp; Supplies Costs</v>
      </c>
      <c r="K53" s="166">
        <v>1</v>
      </c>
      <c r="L53" s="284">
        <f>D53-(ABS(1-D53)*$K$2)</f>
        <v>1.04</v>
      </c>
      <c r="M53" s="284">
        <f t="shared" ref="M53:N55" si="4">E53-(ABS(1-E53)*$K$2)</f>
        <v>1.04</v>
      </c>
      <c r="N53" s="284">
        <f t="shared" si="4"/>
        <v>1</v>
      </c>
      <c r="O53" s="158"/>
      <c r="P53" s="158"/>
      <c r="Q53" s="218" t="str">
        <f t="shared" si="3"/>
        <v>Materials &amp; Supplies Costs</v>
      </c>
      <c r="R53" s="219">
        <v>1</v>
      </c>
      <c r="S53" s="284">
        <f>D53+(ABS(1-D53)*$R$2)</f>
        <v>1.06</v>
      </c>
      <c r="T53" s="284">
        <f t="shared" ref="T53:U55" si="5">E53+(ABS(1-E53)*$R$2)</f>
        <v>1.06</v>
      </c>
      <c r="U53" s="284">
        <f t="shared" si="5"/>
        <v>1</v>
      </c>
      <c r="V53" s="158"/>
      <c r="W53" s="54"/>
    </row>
    <row r="54" spans="1:23" ht="12.75" customHeight="1" x14ac:dyDescent="0.25">
      <c r="A54" s="3"/>
      <c r="B54" s="164" t="str">
        <f>+Input!B42</f>
        <v>Labor Costs</v>
      </c>
      <c r="C54" s="166">
        <v>1</v>
      </c>
      <c r="D54" s="284">
        <f>+Input!C42</f>
        <v>1</v>
      </c>
      <c r="E54" s="167">
        <f>+Input!D42</f>
        <v>1.03</v>
      </c>
      <c r="F54" s="167">
        <f>+Input!E42</f>
        <v>1.05</v>
      </c>
      <c r="G54" s="158"/>
      <c r="H54" s="158"/>
      <c r="I54" s="159"/>
      <c r="J54" s="164" t="str">
        <f t="shared" si="2"/>
        <v>Labor Costs</v>
      </c>
      <c r="K54" s="166">
        <v>1</v>
      </c>
      <c r="L54" s="284">
        <f>D54-(ABS(1-D54)*$K$2)</f>
        <v>1</v>
      </c>
      <c r="M54" s="284">
        <f t="shared" si="4"/>
        <v>1.024</v>
      </c>
      <c r="N54" s="284">
        <f t="shared" si="4"/>
        <v>1.04</v>
      </c>
      <c r="O54" s="158"/>
      <c r="P54" s="158"/>
      <c r="Q54" s="164" t="str">
        <f t="shared" si="3"/>
        <v>Labor Costs</v>
      </c>
      <c r="R54" s="166">
        <v>1</v>
      </c>
      <c r="S54" s="284">
        <f>D54+(ABS(1-D54)*$R$2)</f>
        <v>1</v>
      </c>
      <c r="T54" s="284">
        <f t="shared" si="5"/>
        <v>1.036</v>
      </c>
      <c r="U54" s="284">
        <f t="shared" si="5"/>
        <v>1.06</v>
      </c>
      <c r="V54" s="158"/>
      <c r="W54" s="54"/>
    </row>
    <row r="55" spans="1:23" ht="12.75" customHeight="1" x14ac:dyDescent="0.25">
      <c r="A55" s="3"/>
      <c r="B55" s="164" t="str">
        <f>+Input!B43</f>
        <v>Interest Rates</v>
      </c>
      <c r="C55" s="167">
        <v>1</v>
      </c>
      <c r="D55" s="284">
        <f>+Input!C43</f>
        <v>1</v>
      </c>
      <c r="E55" s="284">
        <f>+Input!D43</f>
        <v>1.05</v>
      </c>
      <c r="F55" s="284">
        <f>+Input!E43</f>
        <v>0.95</v>
      </c>
      <c r="G55" s="159"/>
      <c r="H55" s="158"/>
      <c r="I55" s="159"/>
      <c r="J55" s="164" t="str">
        <f t="shared" si="2"/>
        <v>Interest Rates</v>
      </c>
      <c r="K55" s="167">
        <v>1</v>
      </c>
      <c r="L55" s="284">
        <f>D55-(ABS(1-D55)*$K$2)</f>
        <v>1</v>
      </c>
      <c r="M55" s="284">
        <f t="shared" si="4"/>
        <v>1.04</v>
      </c>
      <c r="N55" s="284">
        <f t="shared" si="4"/>
        <v>0.94</v>
      </c>
      <c r="O55" s="159"/>
      <c r="P55" s="158"/>
      <c r="Q55" s="164" t="str">
        <f t="shared" si="3"/>
        <v>Interest Rates</v>
      </c>
      <c r="R55" s="167">
        <v>1</v>
      </c>
      <c r="S55" s="284">
        <f>D55+(ABS(1-D55)*$R$2)</f>
        <v>1</v>
      </c>
      <c r="T55" s="284">
        <f t="shared" si="5"/>
        <v>1.06</v>
      </c>
      <c r="U55" s="284">
        <f t="shared" si="5"/>
        <v>0.96</v>
      </c>
      <c r="V55" s="159"/>
      <c r="W55" s="54"/>
    </row>
    <row r="56" spans="1:23" ht="12.75" customHeight="1" x14ac:dyDescent="0.25">
      <c r="A56" s="3"/>
      <c r="B56" s="164" t="str">
        <f>+Input!B44</f>
        <v>Business Market Position</v>
      </c>
      <c r="C56" s="166">
        <v>1</v>
      </c>
      <c r="D56" s="284">
        <f>+Input!C44</f>
        <v>1.1000000000000001</v>
      </c>
      <c r="E56" s="167">
        <f>+Input!D44</f>
        <v>1.05</v>
      </c>
      <c r="F56" s="167">
        <f>+Input!E44</f>
        <v>1.03</v>
      </c>
      <c r="G56" s="158"/>
      <c r="H56" s="158"/>
      <c r="I56" s="159"/>
      <c r="J56" s="164" t="str">
        <f t="shared" si="2"/>
        <v>Business Market Position</v>
      </c>
      <c r="K56" s="166">
        <v>1</v>
      </c>
      <c r="L56" s="284">
        <f>D56+(ABS(1-D56)*$K$2)</f>
        <v>1.1200000000000001</v>
      </c>
      <c r="M56" s="284">
        <f t="shared" ref="M56:N58" si="6">E56+(ABS(1-E56)*$K$2)</f>
        <v>1.06</v>
      </c>
      <c r="N56" s="284">
        <f t="shared" si="6"/>
        <v>1.036</v>
      </c>
      <c r="O56" s="158"/>
      <c r="P56" s="158"/>
      <c r="Q56" s="164" t="str">
        <f t="shared" si="3"/>
        <v>Business Market Position</v>
      </c>
      <c r="R56" s="166">
        <v>1</v>
      </c>
      <c r="S56" s="284">
        <f>D56-(ABS(1-D56)*$R$2)</f>
        <v>1.08</v>
      </c>
      <c r="T56" s="284">
        <f t="shared" ref="T56:U58" si="7">E56-(ABS(1-E56)*$R$2)</f>
        <v>1.04</v>
      </c>
      <c r="U56" s="284">
        <f t="shared" si="7"/>
        <v>1.024</v>
      </c>
      <c r="V56" s="158"/>
      <c r="W56" s="54"/>
    </row>
    <row r="57" spans="1:23" ht="12.75" customHeight="1" x14ac:dyDescent="0.25">
      <c r="A57" s="3"/>
      <c r="B57" s="164" t="str">
        <f>+Input!B45</f>
        <v>Variable Costs Efficiency</v>
      </c>
      <c r="C57" s="166">
        <v>1</v>
      </c>
      <c r="D57" s="284">
        <f>+Input!C45</f>
        <v>1.03</v>
      </c>
      <c r="E57" s="167">
        <f>+Input!D45</f>
        <v>1.05</v>
      </c>
      <c r="F57" s="167">
        <f>+Input!E45</f>
        <v>1</v>
      </c>
      <c r="G57" s="158"/>
      <c r="H57" s="158"/>
      <c r="I57" s="159"/>
      <c r="J57" s="164" t="str">
        <f t="shared" si="2"/>
        <v>Variable Costs Efficiency</v>
      </c>
      <c r="K57" s="166">
        <v>1</v>
      </c>
      <c r="L57" s="284">
        <f>D57+(ABS(1-D57)*$K$2)</f>
        <v>1.036</v>
      </c>
      <c r="M57" s="284">
        <f t="shared" si="6"/>
        <v>1.06</v>
      </c>
      <c r="N57" s="284">
        <f t="shared" si="6"/>
        <v>1</v>
      </c>
      <c r="O57" s="158"/>
      <c r="P57" s="158"/>
      <c r="Q57" s="164" t="str">
        <f t="shared" si="3"/>
        <v>Variable Costs Efficiency</v>
      </c>
      <c r="R57" s="166">
        <v>1</v>
      </c>
      <c r="S57" s="284">
        <f>D57-(ABS(1-D57)*$R$2)</f>
        <v>1.024</v>
      </c>
      <c r="T57" s="284">
        <f t="shared" si="7"/>
        <v>1.04</v>
      </c>
      <c r="U57" s="284">
        <f t="shared" si="7"/>
        <v>1</v>
      </c>
      <c r="V57" s="158"/>
      <c r="W57" s="54"/>
    </row>
    <row r="58" spans="1:23" ht="12.75" customHeight="1" x14ac:dyDescent="0.25">
      <c r="A58" s="3"/>
      <c r="B58" s="168" t="str">
        <f>+Input!B46</f>
        <v>Fixed Costs Efficiency</v>
      </c>
      <c r="C58" s="166">
        <v>1</v>
      </c>
      <c r="D58" s="285">
        <f>+Input!C46</f>
        <v>1</v>
      </c>
      <c r="E58" s="286">
        <f>+Input!D46</f>
        <v>1.02</v>
      </c>
      <c r="F58" s="286">
        <f>+Input!E46</f>
        <v>1.05</v>
      </c>
      <c r="G58" s="158"/>
      <c r="H58" s="158"/>
      <c r="I58" s="159"/>
      <c r="J58" s="164" t="str">
        <f t="shared" si="2"/>
        <v>Fixed Costs Efficiency</v>
      </c>
      <c r="K58" s="166">
        <v>1</v>
      </c>
      <c r="L58" s="284">
        <f>D58+(ABS(1-D58)*$K$2)</f>
        <v>1</v>
      </c>
      <c r="M58" s="284">
        <f t="shared" si="6"/>
        <v>1.024</v>
      </c>
      <c r="N58" s="284">
        <f t="shared" si="6"/>
        <v>1.06</v>
      </c>
      <c r="O58" s="158"/>
      <c r="P58" s="158"/>
      <c r="Q58" s="164" t="str">
        <f t="shared" si="3"/>
        <v>Fixed Costs Efficiency</v>
      </c>
      <c r="R58" s="166">
        <v>1</v>
      </c>
      <c r="S58" s="284">
        <f>D58-(ABS(1-D58)*$R$2)</f>
        <v>1</v>
      </c>
      <c r="T58" s="284">
        <f t="shared" si="7"/>
        <v>1.016</v>
      </c>
      <c r="U58" s="284">
        <f t="shared" si="7"/>
        <v>1.04</v>
      </c>
      <c r="V58" s="158"/>
      <c r="W58" s="54"/>
    </row>
    <row r="59" spans="1:23" ht="12.75" customHeight="1" x14ac:dyDescent="0.25">
      <c r="A59" s="3"/>
      <c r="B59" s="168" t="str">
        <f>+Input!B48</f>
        <v>Fixed Costs Flow-on</v>
      </c>
      <c r="C59" s="287">
        <f>+Input!C48</f>
        <v>0.25</v>
      </c>
      <c r="D59" s="169"/>
      <c r="E59" s="169"/>
      <c r="F59" s="169"/>
      <c r="G59" s="158"/>
      <c r="H59" s="158"/>
      <c r="I59" s="159"/>
      <c r="J59" s="170" t="str">
        <f t="shared" si="2"/>
        <v>Fixed Costs Flow-on</v>
      </c>
      <c r="K59" s="288">
        <f>$C$59*(1-$K$2)</f>
        <v>0.2</v>
      </c>
      <c r="L59" s="169"/>
      <c r="M59" s="169"/>
      <c r="N59" s="169"/>
      <c r="O59" s="158"/>
      <c r="P59" s="158"/>
      <c r="Q59" s="170" t="str">
        <f t="shared" si="3"/>
        <v>Fixed Costs Flow-on</v>
      </c>
      <c r="R59" s="288">
        <f>$C$59*(1+$R$2)</f>
        <v>0.3</v>
      </c>
      <c r="S59" s="169"/>
      <c r="T59" s="169"/>
      <c r="U59" s="169"/>
      <c r="V59" s="158"/>
      <c r="W59" s="54"/>
    </row>
    <row r="60" spans="1:23" ht="12.75" customHeight="1" x14ac:dyDescent="0.3">
      <c r="A60" s="3"/>
      <c r="B60" s="171" t="s">
        <v>63</v>
      </c>
      <c r="C60" s="289">
        <f>+D74</f>
        <v>60000</v>
      </c>
      <c r="D60" s="172">
        <f>+C60*D$54</f>
        <v>60000</v>
      </c>
      <c r="E60" s="173">
        <f>+D60*$E$54</f>
        <v>61800</v>
      </c>
      <c r="F60" s="173">
        <f>+E60*$F$54</f>
        <v>64890</v>
      </c>
      <c r="G60" s="158"/>
      <c r="H60" s="158"/>
      <c r="I60" s="159"/>
      <c r="J60" s="171" t="str">
        <f>+B60</f>
        <v>Owners Max Business Labor Earnings</v>
      </c>
      <c r="K60" s="289">
        <f>+L74</f>
        <v>60000</v>
      </c>
      <c r="L60" s="172">
        <f>+K60*L$54</f>
        <v>60000</v>
      </c>
      <c r="M60" s="173">
        <f>+L60*$E$54</f>
        <v>61800</v>
      </c>
      <c r="N60" s="173">
        <f>+M60*$F$54</f>
        <v>64890</v>
      </c>
      <c r="O60" s="158"/>
      <c r="P60" s="158"/>
      <c r="Q60" s="202" t="str">
        <f>+B60</f>
        <v>Owners Max Business Labor Earnings</v>
      </c>
      <c r="R60" s="201">
        <f>+C60</f>
        <v>60000</v>
      </c>
      <c r="S60" s="172">
        <f>+R60*S$54</f>
        <v>60000</v>
      </c>
      <c r="T60" s="173">
        <f>+S60*$E$54</f>
        <v>61800</v>
      </c>
      <c r="U60" s="173">
        <f>+T60*$F$54</f>
        <v>64890</v>
      </c>
      <c r="V60" s="158"/>
      <c r="W60" s="54"/>
    </row>
    <row r="61" spans="1:23" ht="12.75" customHeight="1" x14ac:dyDescent="0.25">
      <c r="A61" s="3"/>
      <c r="B61" s="174" t="str">
        <f>+B5</f>
        <v>Business Revenue</v>
      </c>
      <c r="C61" s="175">
        <f ca="1">+C5</f>
        <v>500000</v>
      </c>
      <c r="D61" s="175">
        <f ca="1">+D5</f>
        <v>560679.61165048543</v>
      </c>
      <c r="E61" s="175">
        <f ca="1">+E5</f>
        <v>588713.59223300975</v>
      </c>
      <c r="F61" s="175">
        <f ca="1">+F5</f>
        <v>625128.8659793816</v>
      </c>
      <c r="G61" s="158"/>
      <c r="H61" s="158"/>
      <c r="I61" s="159"/>
      <c r="J61" s="174" t="str">
        <f>+J5</f>
        <v>Business Revenue</v>
      </c>
      <c r="K61" s="175">
        <f ca="1">+K5</f>
        <v>500000</v>
      </c>
      <c r="L61" s="175">
        <f ca="1">+L5</f>
        <v>579687.5</v>
      </c>
      <c r="M61" s="175">
        <f ca="1">+M5</f>
        <v>614468.75</v>
      </c>
      <c r="N61" s="175">
        <f ca="1">+N5</f>
        <v>660362.68153526972</v>
      </c>
      <c r="O61" s="158"/>
      <c r="P61" s="158"/>
      <c r="Q61" s="174" t="str">
        <f>+Q5</f>
        <v>Business Revenue</v>
      </c>
      <c r="R61" s="175">
        <f ca="1">+R5</f>
        <v>500000</v>
      </c>
      <c r="S61" s="175">
        <f ca="1">+S5</f>
        <v>542084.94208494201</v>
      </c>
      <c r="T61" s="175">
        <f ca="1">+T5</f>
        <v>563768.33976833976</v>
      </c>
      <c r="U61" s="175">
        <f ca="1">+U5</f>
        <v>591494.65156022529</v>
      </c>
      <c r="V61" s="158"/>
      <c r="W61" s="54"/>
    </row>
    <row r="62" spans="1:23" ht="12.75" customHeight="1" x14ac:dyDescent="0.25">
      <c r="A62" s="3"/>
      <c r="B62" s="176" t="str">
        <f t="shared" ref="B62:F63" si="8">+B20</f>
        <v>Total Variable Costs</v>
      </c>
      <c r="C62" s="177">
        <f t="shared" si="8"/>
        <v>310000</v>
      </c>
      <c r="D62" s="177">
        <f t="shared" ca="1" si="8"/>
        <v>338040.81440286536</v>
      </c>
      <c r="E62" s="177">
        <f t="shared" ca="1" si="8"/>
        <v>346777.61806013767</v>
      </c>
      <c r="F62" s="177">
        <f t="shared" ca="1" si="8"/>
        <v>383111.80062055867</v>
      </c>
      <c r="G62" s="158"/>
      <c r="H62" s="158"/>
      <c r="I62" s="159"/>
      <c r="J62" s="176" t="str">
        <f t="shared" ref="J62:N63" si="9">+J20</f>
        <v>Total Variable Costs</v>
      </c>
      <c r="K62" s="177">
        <f t="shared" si="9"/>
        <v>310000</v>
      </c>
      <c r="L62" s="177">
        <f t="shared" ca="1" si="9"/>
        <v>347476.7736486487</v>
      </c>
      <c r="M62" s="177">
        <f t="shared" ca="1" si="9"/>
        <v>354778.82179054053</v>
      </c>
      <c r="N62" s="177">
        <f t="shared" ca="1" si="9"/>
        <v>393592.1777748962</v>
      </c>
      <c r="O62" s="158"/>
      <c r="P62" s="158"/>
      <c r="Q62" s="176" t="str">
        <f t="shared" ref="Q62:U63" si="10">+Q20</f>
        <v>Total Variable Costs</v>
      </c>
      <c r="R62" s="177">
        <f t="shared" si="10"/>
        <v>310000</v>
      </c>
      <c r="S62" s="177">
        <f t="shared" ca="1" si="10"/>
        <v>328744.8721042471</v>
      </c>
      <c r="T62" s="177">
        <f t="shared" ca="1" si="10"/>
        <v>338829.55779440154</v>
      </c>
      <c r="U62" s="177">
        <f t="shared" ca="1" si="10"/>
        <v>372755.6016203558</v>
      </c>
      <c r="V62" s="158"/>
      <c r="W62" s="54"/>
    </row>
    <row r="63" spans="1:23" ht="12.75" customHeight="1" x14ac:dyDescent="0.25">
      <c r="A63" s="3"/>
      <c r="B63" s="176" t="str">
        <f t="shared" si="8"/>
        <v>Total Variable Costs %</v>
      </c>
      <c r="C63" s="178">
        <f t="shared" ca="1" si="8"/>
        <v>0.62</v>
      </c>
      <c r="D63" s="178">
        <f t="shared" ca="1" si="8"/>
        <v>0.60291262135922308</v>
      </c>
      <c r="E63" s="178">
        <f t="shared" ca="1" si="8"/>
        <v>0.58904299583911235</v>
      </c>
      <c r="F63" s="178">
        <f t="shared" ca="1" si="8"/>
        <v>0.6128525196486363</v>
      </c>
      <c r="G63" s="158"/>
      <c r="H63" s="158"/>
      <c r="I63" s="159"/>
      <c r="J63" s="176" t="str">
        <f t="shared" si="9"/>
        <v>Total Variable Costs %</v>
      </c>
      <c r="K63" s="178">
        <f t="shared" ca="1" si="9"/>
        <v>0.62</v>
      </c>
      <c r="L63" s="178">
        <f t="shared" ca="1" si="9"/>
        <v>0.5994208494208495</v>
      </c>
      <c r="M63" s="178">
        <f t="shared" ca="1" si="9"/>
        <v>0.57737488162016459</v>
      </c>
      <c r="N63" s="178">
        <f t="shared" ca="1" si="9"/>
        <v>0.59602425876010767</v>
      </c>
      <c r="O63" s="158"/>
      <c r="P63" s="158"/>
      <c r="Q63" s="176" t="str">
        <f t="shared" si="10"/>
        <v>Total Variable Costs %</v>
      </c>
      <c r="R63" s="178">
        <f t="shared" ca="1" si="10"/>
        <v>0.62</v>
      </c>
      <c r="S63" s="178">
        <f t="shared" ca="1" si="10"/>
        <v>0.60644531250000011</v>
      </c>
      <c r="T63" s="178">
        <f t="shared" ca="1" si="10"/>
        <v>0.60100848858173073</v>
      </c>
      <c r="U63" s="178">
        <f t="shared" ca="1" si="10"/>
        <v>0.63019268329326938</v>
      </c>
      <c r="V63" s="158"/>
      <c r="W63" s="54"/>
    </row>
    <row r="64" spans="1:23" ht="12.75" customHeight="1" x14ac:dyDescent="0.25">
      <c r="A64" s="3"/>
      <c r="B64" s="176" t="str">
        <f t="shared" ref="B64:F65" si="11">+B38</f>
        <v>Total Fixed Costs</v>
      </c>
      <c r="C64" s="177">
        <f t="shared" si="11"/>
        <v>130000</v>
      </c>
      <c r="D64" s="177">
        <f t="shared" ca="1" si="11"/>
        <v>133944.17475728155</v>
      </c>
      <c r="E64" s="177">
        <f t="shared" ca="1" si="11"/>
        <v>135766.38349514565</v>
      </c>
      <c r="F64" s="177">
        <f t="shared" ca="1" si="11"/>
        <v>136645.19080828209</v>
      </c>
      <c r="G64" s="158"/>
      <c r="H64" s="158"/>
      <c r="I64" s="159"/>
      <c r="J64" s="176" t="str">
        <f t="shared" ref="J64:N65" si="12">+J38</f>
        <v>Total Fixed Costs</v>
      </c>
      <c r="K64" s="177">
        <f t="shared" si="12"/>
        <v>130000</v>
      </c>
      <c r="L64" s="177">
        <f t="shared" ca="1" si="12"/>
        <v>135179.6875</v>
      </c>
      <c r="M64" s="177">
        <f t="shared" ca="1" si="12"/>
        <v>137068.78479003906</v>
      </c>
      <c r="N64" s="177">
        <f t="shared" ca="1" si="12"/>
        <v>137022.53163487557</v>
      </c>
      <c r="O64" s="158"/>
      <c r="P64" s="158"/>
      <c r="Q64" s="176" t="str">
        <f t="shared" ref="Q64:U65" si="13">+Q38</f>
        <v>Total Fixed Costs</v>
      </c>
      <c r="R64" s="177">
        <f t="shared" si="13"/>
        <v>130000</v>
      </c>
      <c r="S64" s="177">
        <f t="shared" ca="1" si="13"/>
        <v>132735.52123552124</v>
      </c>
      <c r="T64" s="177">
        <f t="shared" ca="1" si="13"/>
        <v>134510.57033411364</v>
      </c>
      <c r="U64" s="177">
        <f t="shared" ca="1" si="13"/>
        <v>136353.32162619143</v>
      </c>
      <c r="V64" s="158"/>
      <c r="W64" s="54"/>
    </row>
    <row r="65" spans="1:23" ht="12.75" customHeight="1" x14ac:dyDescent="0.25">
      <c r="A65" s="3"/>
      <c r="B65" s="176" t="str">
        <f t="shared" si="11"/>
        <v>Total Fixed Costs %</v>
      </c>
      <c r="C65" s="178">
        <f t="shared" ca="1" si="11"/>
        <v>0.26</v>
      </c>
      <c r="D65" s="178">
        <f t="shared" ca="1" si="11"/>
        <v>0.23889610389610388</v>
      </c>
      <c r="E65" s="178">
        <f t="shared" ca="1" si="11"/>
        <v>0.23061533704390849</v>
      </c>
      <c r="F65" s="178">
        <f t="shared" ca="1" si="11"/>
        <v>0.21858723576010486</v>
      </c>
      <c r="G65" s="158"/>
      <c r="H65" s="158"/>
      <c r="I65" s="159"/>
      <c r="J65" s="176" t="str">
        <f t="shared" si="12"/>
        <v>Total Fixed Costs %</v>
      </c>
      <c r="K65" s="178">
        <f t="shared" ca="1" si="12"/>
        <v>0.26</v>
      </c>
      <c r="L65" s="178">
        <f t="shared" ca="1" si="12"/>
        <v>0.23319407008086254</v>
      </c>
      <c r="M65" s="178">
        <f t="shared" ca="1" si="12"/>
        <v>0.22306876434324621</v>
      </c>
      <c r="N65" s="178">
        <f t="shared" ca="1" si="12"/>
        <v>0.20749587380727427</v>
      </c>
      <c r="O65" s="158"/>
      <c r="P65" s="158"/>
      <c r="Q65" s="176" t="str">
        <f t="shared" si="13"/>
        <v>Total Fixed Costs %</v>
      </c>
      <c r="R65" s="178">
        <f t="shared" ca="1" si="13"/>
        <v>0.26</v>
      </c>
      <c r="S65" s="178">
        <f t="shared" ca="1" si="13"/>
        <v>0.24486111111111117</v>
      </c>
      <c r="T65" s="178">
        <f t="shared" ca="1" si="13"/>
        <v>0.23859191949194219</v>
      </c>
      <c r="U65" s="178">
        <f t="shared" ca="1" si="13"/>
        <v>0.23052333823564269</v>
      </c>
      <c r="V65" s="158"/>
      <c r="W65" s="54"/>
    </row>
    <row r="66" spans="1:23" ht="12.75" customHeight="1" x14ac:dyDescent="0.25">
      <c r="A66" s="3"/>
      <c r="B66" s="176" t="str">
        <f t="shared" ref="B66:F67" si="14">+B43</f>
        <v>Operating Surplus</v>
      </c>
      <c r="C66" s="177">
        <f t="shared" ca="1" si="14"/>
        <v>60000</v>
      </c>
      <c r="D66" s="177">
        <f t="shared" ca="1" si="14"/>
        <v>88694.622490338515</v>
      </c>
      <c r="E66" s="177">
        <f t="shared" ca="1" si="14"/>
        <v>106169.59067772643</v>
      </c>
      <c r="F66" s="177">
        <f t="shared" ca="1" si="14"/>
        <v>105371.87455054082</v>
      </c>
      <c r="G66" s="158"/>
      <c r="H66" s="158"/>
      <c r="I66" s="159"/>
      <c r="J66" s="176" t="str">
        <f t="shared" ref="J66:N67" si="15">+J43</f>
        <v>Operating Surplus</v>
      </c>
      <c r="K66" s="177">
        <f t="shared" ca="1" si="15"/>
        <v>60000</v>
      </c>
      <c r="L66" s="177">
        <f t="shared" ca="1" si="15"/>
        <v>97031.038851351303</v>
      </c>
      <c r="M66" s="177">
        <f t="shared" ca="1" si="15"/>
        <v>122621.1434194204</v>
      </c>
      <c r="N66" s="177">
        <f t="shared" ca="1" si="15"/>
        <v>129747.972125498</v>
      </c>
      <c r="O66" s="158"/>
      <c r="P66" s="158"/>
      <c r="Q66" s="176" t="str">
        <f t="shared" ref="Q66:U67" si="16">+Q43</f>
        <v>Operating Surplus</v>
      </c>
      <c r="R66" s="177">
        <f t="shared" ca="1" si="16"/>
        <v>60000</v>
      </c>
      <c r="S66" s="177">
        <f t="shared" ca="1" si="16"/>
        <v>80604.54874517367</v>
      </c>
      <c r="T66" s="177">
        <f t="shared" ca="1" si="16"/>
        <v>90428.211639824556</v>
      </c>
      <c r="U66" s="177">
        <f t="shared" ca="1" si="16"/>
        <v>82385.728313678061</v>
      </c>
      <c r="V66" s="158"/>
      <c r="W66" s="54"/>
    </row>
    <row r="67" spans="1:23" ht="13" x14ac:dyDescent="0.3">
      <c r="A67" s="3"/>
      <c r="B67" s="176" t="str">
        <f t="shared" si="14"/>
        <v>Operating Surplus %</v>
      </c>
      <c r="C67" s="178">
        <f t="shared" ca="1" si="14"/>
        <v>0.12</v>
      </c>
      <c r="D67" s="178">
        <f t="shared" ca="1" si="14"/>
        <v>0.15819127474467304</v>
      </c>
      <c r="E67" s="178">
        <f t="shared" ca="1" si="14"/>
        <v>0.18034166711697913</v>
      </c>
      <c r="F67" s="178">
        <f t="shared" ca="1" si="14"/>
        <v>0.16856024459125882</v>
      </c>
      <c r="G67" s="158"/>
      <c r="H67" s="179"/>
      <c r="I67" s="159"/>
      <c r="J67" s="176" t="str">
        <f t="shared" si="15"/>
        <v>Operating Surplus %</v>
      </c>
      <c r="K67" s="178">
        <f t="shared" ca="1" si="15"/>
        <v>0.12</v>
      </c>
      <c r="L67" s="178">
        <f t="shared" ca="1" si="15"/>
        <v>0.16738508049828796</v>
      </c>
      <c r="M67" s="178">
        <f t="shared" ca="1" si="15"/>
        <v>0.19955635403658917</v>
      </c>
      <c r="N67" s="178">
        <f t="shared" ca="1" si="15"/>
        <v>0.19647986743261808</v>
      </c>
      <c r="O67" s="158"/>
      <c r="P67" s="179"/>
      <c r="Q67" s="176" t="str">
        <f t="shared" si="16"/>
        <v>Operating Surplus %</v>
      </c>
      <c r="R67" s="178">
        <f t="shared" ca="1" si="16"/>
        <v>0.12</v>
      </c>
      <c r="S67" s="178">
        <f t="shared" ca="1" si="16"/>
        <v>0.14869357638888878</v>
      </c>
      <c r="T67" s="178">
        <f t="shared" ca="1" si="16"/>
        <v>0.16039959192632697</v>
      </c>
      <c r="U67" s="178">
        <f t="shared" ca="1" si="16"/>
        <v>0.13928397847108789</v>
      </c>
      <c r="V67" s="158"/>
      <c r="W67" s="59"/>
    </row>
    <row r="68" spans="1:23" ht="12.75" customHeight="1" x14ac:dyDescent="0.25">
      <c r="A68" s="3"/>
      <c r="B68" s="176" t="str">
        <f t="shared" ref="B68:F69" si="17">+B46</f>
        <v>Owner Cash Flow</v>
      </c>
      <c r="C68" s="177">
        <f t="shared" ca="1" si="17"/>
        <v>120000</v>
      </c>
      <c r="D68" s="177">
        <f t="shared" ca="1" si="17"/>
        <v>148694.62249033854</v>
      </c>
      <c r="E68" s="177">
        <f t="shared" ca="1" si="17"/>
        <v>167969.59067772643</v>
      </c>
      <c r="F68" s="177">
        <f t="shared" ca="1" si="17"/>
        <v>170261.87455054082</v>
      </c>
      <c r="G68" s="158"/>
      <c r="H68" s="161"/>
      <c r="I68" s="159"/>
      <c r="J68" s="176" t="str">
        <f t="shared" ref="J68:N69" si="18">+J46</f>
        <v>Owner Cash Flow</v>
      </c>
      <c r="K68" s="177">
        <f t="shared" ca="1" si="18"/>
        <v>120000</v>
      </c>
      <c r="L68" s="177">
        <f t="shared" ca="1" si="18"/>
        <v>157031.0388513513</v>
      </c>
      <c r="M68" s="177">
        <f t="shared" ca="1" si="18"/>
        <v>184421.1434194204</v>
      </c>
      <c r="N68" s="177">
        <f t="shared" ca="1" si="18"/>
        <v>194637.972125498</v>
      </c>
      <c r="O68" s="158"/>
      <c r="P68" s="161"/>
      <c r="Q68" s="176" t="str">
        <f t="shared" ref="Q68:U69" si="19">+Q46</f>
        <v>Owner Cash Flow</v>
      </c>
      <c r="R68" s="177">
        <f t="shared" ca="1" si="19"/>
        <v>120000</v>
      </c>
      <c r="S68" s="177">
        <f t="shared" ca="1" si="19"/>
        <v>140604.54874517367</v>
      </c>
      <c r="T68" s="177">
        <f t="shared" ca="1" si="19"/>
        <v>152228.21163982456</v>
      </c>
      <c r="U68" s="177">
        <f t="shared" ca="1" si="19"/>
        <v>147275.72831367806</v>
      </c>
      <c r="V68" s="158"/>
      <c r="W68" s="23"/>
    </row>
    <row r="69" spans="1:23" ht="13" x14ac:dyDescent="0.25">
      <c r="A69" s="3"/>
      <c r="B69" s="180" t="str">
        <f t="shared" si="17"/>
        <v>Owner Cash Flow %</v>
      </c>
      <c r="C69" s="181">
        <f t="shared" ca="1" si="17"/>
        <v>0.24</v>
      </c>
      <c r="D69" s="181">
        <f t="shared" ca="1" si="17"/>
        <v>0.2652042617576601</v>
      </c>
      <c r="E69" s="181">
        <f t="shared" ca="1" si="17"/>
        <v>0.28531631152019493</v>
      </c>
      <c r="F69" s="181">
        <f t="shared" ca="1" si="17"/>
        <v>0.27236284199385619</v>
      </c>
      <c r="G69" s="158"/>
      <c r="H69" s="158"/>
      <c r="I69" s="159"/>
      <c r="J69" s="180" t="str">
        <f t="shared" si="18"/>
        <v>Owner Cash Flow %</v>
      </c>
      <c r="K69" s="181">
        <f t="shared" ca="1" si="18"/>
        <v>0.24</v>
      </c>
      <c r="L69" s="181">
        <f t="shared" ca="1" si="18"/>
        <v>0.27088912362497258</v>
      </c>
      <c r="M69" s="181">
        <f t="shared" ca="1" si="18"/>
        <v>0.3001310374521412</v>
      </c>
      <c r="N69" s="181">
        <f t="shared" ca="1" si="18"/>
        <v>0.29474405136429938</v>
      </c>
      <c r="O69" s="158"/>
      <c r="P69" s="158"/>
      <c r="Q69" s="180" t="str">
        <f t="shared" si="19"/>
        <v>Owner Cash Flow %</v>
      </c>
      <c r="R69" s="181">
        <f t="shared" ca="1" si="19"/>
        <v>0.24</v>
      </c>
      <c r="S69" s="181">
        <f t="shared" ca="1" si="19"/>
        <v>0.25937733707264948</v>
      </c>
      <c r="T69" s="181">
        <f t="shared" ca="1" si="19"/>
        <v>0.27001908568043614</v>
      </c>
      <c r="U69" s="181">
        <f t="shared" ca="1" si="19"/>
        <v>0.24898911245469244</v>
      </c>
      <c r="V69" s="158"/>
      <c r="W69" s="54"/>
    </row>
    <row r="70" spans="1:23" ht="12.75" customHeight="1" x14ac:dyDescent="0.3">
      <c r="A70" s="3"/>
      <c r="B70" s="483"/>
      <c r="C70" s="482"/>
      <c r="D70" s="482"/>
      <c r="E70" s="182"/>
      <c r="F70" s="182"/>
      <c r="G70" s="157"/>
      <c r="H70" s="158"/>
      <c r="I70" s="159"/>
      <c r="J70" s="483"/>
      <c r="K70" s="482"/>
      <c r="L70" s="482"/>
      <c r="M70" s="182"/>
      <c r="N70" s="182"/>
      <c r="O70" s="157"/>
      <c r="P70" s="158"/>
      <c r="Q70" s="483"/>
      <c r="R70" s="482"/>
      <c r="S70" s="482"/>
      <c r="T70" s="182"/>
      <c r="U70" s="182"/>
      <c r="V70" s="157"/>
      <c r="W70" s="54"/>
    </row>
    <row r="71" spans="1:23" ht="13" x14ac:dyDescent="0.25">
      <c r="A71" s="3"/>
      <c r="B71" s="183" t="s">
        <v>29</v>
      </c>
      <c r="C71" s="159"/>
      <c r="D71" s="159"/>
      <c r="E71" s="158"/>
      <c r="F71" s="158"/>
      <c r="G71" s="161"/>
      <c r="H71" s="158"/>
      <c r="I71" s="159"/>
      <c r="J71" s="183" t="s">
        <v>29</v>
      </c>
      <c r="K71" s="159"/>
      <c r="L71" s="159"/>
      <c r="M71" s="158"/>
      <c r="N71" s="158"/>
      <c r="O71" s="161"/>
      <c r="P71" s="158"/>
      <c r="Q71" s="183" t="s">
        <v>29</v>
      </c>
      <c r="R71" s="159"/>
      <c r="S71" s="159"/>
      <c r="T71" s="158"/>
      <c r="U71" s="158"/>
      <c r="V71" s="161"/>
      <c r="W71" s="54"/>
    </row>
    <row r="72" spans="1:23" ht="13" x14ac:dyDescent="0.3">
      <c r="A72" s="3"/>
      <c r="B72" s="184" t="s">
        <v>61</v>
      </c>
      <c r="C72" s="185"/>
      <c r="D72" s="186">
        <f>+C12+C32</f>
        <v>60000</v>
      </c>
      <c r="E72" s="158"/>
      <c r="F72" s="158"/>
      <c r="G72" s="158"/>
      <c r="H72" s="158"/>
      <c r="I72" s="159"/>
      <c r="J72" s="184" t="s">
        <v>61</v>
      </c>
      <c r="K72" s="185"/>
      <c r="L72" s="186">
        <f>+K12+K32</f>
        <v>60000</v>
      </c>
      <c r="M72" s="158"/>
      <c r="N72" s="158"/>
      <c r="O72" s="158"/>
      <c r="P72" s="158"/>
      <c r="Q72" s="184" t="s">
        <v>61</v>
      </c>
      <c r="R72" s="185"/>
      <c r="S72" s="186">
        <f>+R12+R32</f>
        <v>60000</v>
      </c>
      <c r="T72" s="158"/>
      <c r="U72" s="158"/>
      <c r="V72" s="158"/>
      <c r="W72" s="54"/>
    </row>
    <row r="73" spans="1:23" ht="13" x14ac:dyDescent="0.3">
      <c r="A73" s="3"/>
      <c r="B73" s="187" t="str">
        <f>+Input!B53</f>
        <v>Owners Time Commitment to Business</v>
      </c>
      <c r="C73" s="188"/>
      <c r="D73" s="290">
        <f>+Input!C53</f>
        <v>1</v>
      </c>
      <c r="E73" s="158"/>
      <c r="F73" s="158"/>
      <c r="G73" s="158"/>
      <c r="H73" s="158"/>
      <c r="I73" s="159"/>
      <c r="J73" s="187" t="str">
        <f>+B73</f>
        <v>Owners Time Commitment to Business</v>
      </c>
      <c r="K73" s="188"/>
      <c r="L73" s="290">
        <f>+D73</f>
        <v>1</v>
      </c>
      <c r="M73" s="158"/>
      <c r="N73" s="158"/>
      <c r="O73" s="158"/>
      <c r="P73" s="158"/>
      <c r="Q73" s="291" t="str">
        <f>+B73</f>
        <v>Owners Time Commitment to Business</v>
      </c>
      <c r="R73" s="188"/>
      <c r="S73" s="292">
        <f>+D73</f>
        <v>1</v>
      </c>
      <c r="T73" s="158"/>
      <c r="U73" s="158"/>
      <c r="V73" s="158"/>
      <c r="W73" s="54"/>
    </row>
    <row r="74" spans="1:23" ht="13" x14ac:dyDescent="0.3">
      <c r="A74" s="3"/>
      <c r="B74" s="171" t="s">
        <v>58</v>
      </c>
      <c r="C74" s="188"/>
      <c r="D74" s="189">
        <f>+D72/D73</f>
        <v>60000</v>
      </c>
      <c r="E74" s="158"/>
      <c r="F74" s="158"/>
      <c r="G74" s="158"/>
      <c r="H74" s="158"/>
      <c r="I74" s="159"/>
      <c r="J74" s="171" t="s">
        <v>58</v>
      </c>
      <c r="K74" s="188"/>
      <c r="L74" s="189">
        <f>+L72/L73</f>
        <v>60000</v>
      </c>
      <c r="M74" s="158"/>
      <c r="N74" s="158"/>
      <c r="O74" s="158"/>
      <c r="P74" s="158"/>
      <c r="Q74" s="171" t="s">
        <v>58</v>
      </c>
      <c r="R74" s="188"/>
      <c r="S74" s="216">
        <f>+S72/S73</f>
        <v>60000</v>
      </c>
      <c r="T74" s="158"/>
      <c r="U74" s="158"/>
      <c r="V74" s="158"/>
      <c r="W74" s="54"/>
    </row>
    <row r="75" spans="1:23" ht="13" x14ac:dyDescent="0.3">
      <c r="A75" s="3"/>
      <c r="B75" s="187" t="str">
        <f>+Input!B54</f>
        <v>Owners External Earning Power</v>
      </c>
      <c r="C75" s="188"/>
      <c r="D75" s="189">
        <f>+Input!C54</f>
        <v>60000</v>
      </c>
      <c r="E75" s="158"/>
      <c r="F75" s="158"/>
      <c r="G75" s="158"/>
      <c r="H75" s="158"/>
      <c r="I75" s="159"/>
      <c r="J75" s="187" t="str">
        <f t="shared" ref="J75:J80" si="20">+B75</f>
        <v>Owners External Earning Power</v>
      </c>
      <c r="K75" s="188"/>
      <c r="L75" s="189">
        <f>+D75</f>
        <v>60000</v>
      </c>
      <c r="M75" s="158"/>
      <c r="N75" s="158"/>
      <c r="O75" s="158"/>
      <c r="P75" s="158"/>
      <c r="Q75" s="291" t="str">
        <f t="shared" ref="Q75:Q80" si="21">+B75</f>
        <v>Owners External Earning Power</v>
      </c>
      <c r="R75" s="188"/>
      <c r="S75" s="216">
        <f>+D75</f>
        <v>60000</v>
      </c>
      <c r="T75" s="158"/>
      <c r="U75" s="158"/>
      <c r="V75" s="158"/>
      <c r="W75" s="54"/>
    </row>
    <row r="76" spans="1:23" ht="13" x14ac:dyDescent="0.3">
      <c r="A76" s="3"/>
      <c r="B76" s="187" t="str">
        <f>+Input!B55</f>
        <v>Replacement Value of Business Assets</v>
      </c>
      <c r="C76" s="188"/>
      <c r="D76" s="189">
        <f>+Input!C55</f>
        <v>100000</v>
      </c>
      <c r="E76" s="158"/>
      <c r="F76" s="158"/>
      <c r="G76" s="158"/>
      <c r="H76" s="190"/>
      <c r="I76" s="159"/>
      <c r="J76" s="187" t="str">
        <f t="shared" si="20"/>
        <v>Replacement Value of Business Assets</v>
      </c>
      <c r="K76" s="188"/>
      <c r="L76" s="189">
        <f>+D76</f>
        <v>100000</v>
      </c>
      <c r="M76" s="158"/>
      <c r="N76" s="158"/>
      <c r="O76" s="158"/>
      <c r="P76" s="190"/>
      <c r="Q76" s="291" t="str">
        <f t="shared" si="21"/>
        <v>Replacement Value of Business Assets</v>
      </c>
      <c r="R76" s="188"/>
      <c r="S76" s="216">
        <f>+D76</f>
        <v>100000</v>
      </c>
      <c r="T76" s="158"/>
      <c r="U76" s="158"/>
      <c r="V76" s="158"/>
      <c r="W76" s="56"/>
    </row>
    <row r="77" spans="1:23" ht="13" x14ac:dyDescent="0.3">
      <c r="A77" s="3"/>
      <c r="B77" s="187" t="str">
        <f>+Input!B56</f>
        <v>Life of Assets (years)</v>
      </c>
      <c r="C77" s="188"/>
      <c r="D77" s="189">
        <f>+Input!C56</f>
        <v>8</v>
      </c>
      <c r="E77" s="158"/>
      <c r="F77" s="158"/>
      <c r="G77" s="158"/>
      <c r="H77" s="190"/>
      <c r="I77" s="159"/>
      <c r="J77" s="187" t="str">
        <f t="shared" si="20"/>
        <v>Life of Assets (years)</v>
      </c>
      <c r="K77" s="188"/>
      <c r="L77" s="189">
        <f>+D77</f>
        <v>8</v>
      </c>
      <c r="M77" s="158"/>
      <c r="N77" s="158"/>
      <c r="O77" s="158"/>
      <c r="P77" s="190"/>
      <c r="Q77" s="291" t="str">
        <f t="shared" si="21"/>
        <v>Life of Assets (years)</v>
      </c>
      <c r="R77" s="188"/>
      <c r="S77" s="216">
        <f>+D77</f>
        <v>8</v>
      </c>
      <c r="T77" s="158"/>
      <c r="U77" s="158"/>
      <c r="V77" s="158"/>
      <c r="W77" s="56"/>
    </row>
    <row r="78" spans="1:23" ht="13" x14ac:dyDescent="0.3">
      <c r="A78" s="3"/>
      <c r="B78" s="187" t="str">
        <f>+Input!B57</f>
        <v>Market Value of Property</v>
      </c>
      <c r="C78" s="188"/>
      <c r="D78" s="189">
        <f>+Input!C57</f>
        <v>0</v>
      </c>
      <c r="E78" s="158"/>
      <c r="F78" s="158"/>
      <c r="G78" s="158"/>
      <c r="H78" s="190"/>
      <c r="I78" s="159"/>
      <c r="J78" s="187" t="str">
        <f t="shared" si="20"/>
        <v>Market Value of Property</v>
      </c>
      <c r="K78" s="188"/>
      <c r="L78" s="189">
        <f>+D78</f>
        <v>0</v>
      </c>
      <c r="M78" s="158"/>
      <c r="N78" s="158"/>
      <c r="O78" s="158"/>
      <c r="P78" s="190"/>
      <c r="Q78" s="291" t="str">
        <f t="shared" si="21"/>
        <v>Market Value of Property</v>
      </c>
      <c r="R78" s="188"/>
      <c r="S78" s="216">
        <f>+D78</f>
        <v>0</v>
      </c>
      <c r="T78" s="158"/>
      <c r="U78" s="158"/>
      <c r="V78" s="158"/>
      <c r="W78" s="56"/>
    </row>
    <row r="79" spans="1:23" ht="13" x14ac:dyDescent="0.3">
      <c r="A79" s="3"/>
      <c r="B79" s="187" t="str">
        <f>+Input!B58</f>
        <v>Other Investment in Business</v>
      </c>
      <c r="C79" s="191"/>
      <c r="D79" s="189">
        <f ca="1">+Input!C58</f>
        <v>148590.78550663125</v>
      </c>
      <c r="E79" s="158"/>
      <c r="F79" s="190"/>
      <c r="G79" s="190"/>
      <c r="H79" s="190"/>
      <c r="I79" s="159"/>
      <c r="J79" s="187" t="str">
        <f t="shared" si="20"/>
        <v>Other Investment in Business</v>
      </c>
      <c r="K79" s="191"/>
      <c r="L79" s="189">
        <f ca="1">+D79</f>
        <v>148590.78550663125</v>
      </c>
      <c r="M79" s="158"/>
      <c r="N79" s="190"/>
      <c r="O79" s="190"/>
      <c r="P79" s="190"/>
      <c r="Q79" s="291" t="str">
        <f t="shared" si="21"/>
        <v>Other Investment in Business</v>
      </c>
      <c r="R79" s="191"/>
      <c r="S79" s="216">
        <f ca="1">+D79</f>
        <v>148590.78550663125</v>
      </c>
      <c r="T79" s="158"/>
      <c r="U79" s="190"/>
      <c r="V79" s="190"/>
      <c r="W79" s="56"/>
    </row>
    <row r="80" spans="1:23" ht="13" x14ac:dyDescent="0.3">
      <c r="A80" s="3"/>
      <c r="B80" s="187" t="str">
        <f>+Input!B59</f>
        <v>Total Investment</v>
      </c>
      <c r="C80" s="191"/>
      <c r="D80" s="230">
        <f ca="1">+D76+D78+D79</f>
        <v>248590.78550663125</v>
      </c>
      <c r="E80" s="158"/>
      <c r="F80" s="190"/>
      <c r="G80" s="190"/>
      <c r="H80" s="190"/>
      <c r="I80" s="159"/>
      <c r="J80" s="187" t="str">
        <f t="shared" si="20"/>
        <v>Total Investment</v>
      </c>
      <c r="K80" s="191"/>
      <c r="L80" s="230">
        <f ca="1">+L76+L78+L79</f>
        <v>248590.78550663125</v>
      </c>
      <c r="M80" s="158"/>
      <c r="N80" s="190"/>
      <c r="O80" s="190"/>
      <c r="P80" s="190"/>
      <c r="Q80" s="291" t="str">
        <f t="shared" si="21"/>
        <v>Total Investment</v>
      </c>
      <c r="R80" s="191"/>
      <c r="S80" s="230">
        <f ca="1">+S76+S78+S79</f>
        <v>248590.78550663125</v>
      </c>
      <c r="T80" s="158"/>
      <c r="U80" s="190"/>
      <c r="V80" s="190"/>
      <c r="W80" s="56"/>
    </row>
    <row r="81" spans="1:23" ht="13" x14ac:dyDescent="0.3">
      <c r="A81" s="3"/>
      <c r="B81" s="187" t="str">
        <f>+Input!B60</f>
        <v>Financed Amount</v>
      </c>
      <c r="C81" s="191"/>
      <c r="D81" s="189">
        <f>+Input!C60</f>
        <v>0</v>
      </c>
      <c r="E81" s="158"/>
      <c r="F81" s="190"/>
      <c r="G81" s="190"/>
      <c r="H81" s="190"/>
      <c r="I81" s="159"/>
      <c r="J81" s="187" t="str">
        <f>+$B81</f>
        <v>Financed Amount</v>
      </c>
      <c r="K81" s="191"/>
      <c r="L81" s="189">
        <f>+$D81</f>
        <v>0</v>
      </c>
      <c r="M81" s="158"/>
      <c r="N81" s="190"/>
      <c r="O81" s="190"/>
      <c r="P81" s="190"/>
      <c r="Q81" s="187" t="str">
        <f>+$B81</f>
        <v>Financed Amount</v>
      </c>
      <c r="R81" s="191"/>
      <c r="S81" s="189">
        <f>+$D81</f>
        <v>0</v>
      </c>
      <c r="T81" s="158"/>
      <c r="U81" s="190"/>
      <c r="V81" s="190"/>
      <c r="W81" s="56"/>
    </row>
    <row r="82" spans="1:23" ht="13" x14ac:dyDescent="0.3">
      <c r="A82" s="3"/>
      <c r="B82" s="192" t="str">
        <f>+Input!B61</f>
        <v>Equity Investment</v>
      </c>
      <c r="C82" s="193"/>
      <c r="D82" s="217">
        <f ca="1">+D80-D81</f>
        <v>248590.78550663125</v>
      </c>
      <c r="E82" s="158"/>
      <c r="F82" s="190"/>
      <c r="G82" s="190"/>
      <c r="H82" s="190"/>
      <c r="I82" s="159"/>
      <c r="J82" s="192" t="str">
        <f>+$B82</f>
        <v>Equity Investment</v>
      </c>
      <c r="K82" s="193"/>
      <c r="L82" s="217">
        <f ca="1">+$D82</f>
        <v>248590.78550663125</v>
      </c>
      <c r="M82" s="158"/>
      <c r="N82" s="190"/>
      <c r="O82" s="190"/>
      <c r="P82" s="190"/>
      <c r="Q82" s="192" t="str">
        <f>+$B82</f>
        <v>Equity Investment</v>
      </c>
      <c r="R82" s="193"/>
      <c r="S82" s="217">
        <f ca="1">+$D82</f>
        <v>248590.78550663125</v>
      </c>
      <c r="T82" s="158"/>
      <c r="U82" s="190"/>
      <c r="V82" s="190"/>
      <c r="W82" s="56"/>
    </row>
    <row r="83" spans="1:23" x14ac:dyDescent="0.25">
      <c r="A83" s="3"/>
      <c r="B83" s="194"/>
      <c r="C83" s="195"/>
      <c r="D83" s="195"/>
      <c r="E83" s="196"/>
      <c r="F83" s="158"/>
      <c r="G83" s="157"/>
      <c r="H83" s="158"/>
      <c r="I83" s="159"/>
      <c r="J83" s="194"/>
      <c r="K83" s="195"/>
      <c r="L83" s="195"/>
      <c r="M83" s="196"/>
      <c r="N83" s="158"/>
      <c r="O83" s="157"/>
      <c r="P83" s="158"/>
      <c r="Q83" s="194"/>
      <c r="R83" s="195"/>
      <c r="S83" s="195"/>
      <c r="T83" s="196"/>
      <c r="U83" s="158"/>
      <c r="V83" s="157"/>
      <c r="W83" s="54"/>
    </row>
    <row r="84" spans="1:23" ht="13" x14ac:dyDescent="0.25">
      <c r="A84" s="3"/>
      <c r="B84" s="197" t="s">
        <v>33</v>
      </c>
      <c r="C84" s="195"/>
      <c r="D84" s="195"/>
      <c r="E84" s="196"/>
      <c r="F84" s="158"/>
      <c r="G84" s="161"/>
      <c r="H84" s="158"/>
      <c r="I84" s="159"/>
      <c r="J84" s="197" t="s">
        <v>33</v>
      </c>
      <c r="K84" s="195"/>
      <c r="L84" s="195"/>
      <c r="M84" s="196"/>
      <c r="N84" s="158"/>
      <c r="O84" s="161"/>
      <c r="P84" s="158"/>
      <c r="Q84" s="197" t="s">
        <v>33</v>
      </c>
      <c r="R84" s="195"/>
      <c r="S84" s="195"/>
      <c r="T84" s="196"/>
      <c r="U84" s="158"/>
      <c r="V84" s="161"/>
      <c r="W84" s="54"/>
    </row>
    <row r="85" spans="1:23" ht="26" x14ac:dyDescent="0.25">
      <c r="A85" s="3"/>
      <c r="B85" s="198"/>
      <c r="C85" s="199" t="str">
        <f t="shared" ref="C85:F86" si="22">+C4</f>
        <v>Current Year</v>
      </c>
      <c r="D85" s="199" t="str">
        <f t="shared" si="22"/>
        <v>Year 1</v>
      </c>
      <c r="E85" s="199" t="str">
        <f t="shared" si="22"/>
        <v>Year 2</v>
      </c>
      <c r="F85" s="199" t="str">
        <f t="shared" si="22"/>
        <v>Year 3</v>
      </c>
      <c r="G85" s="199" t="str">
        <f>+'Expected Results'!G5</f>
        <v>3 Year Average</v>
      </c>
      <c r="H85" s="158"/>
      <c r="I85" s="159"/>
      <c r="J85" s="198"/>
      <c r="K85" s="199" t="str">
        <f t="shared" ref="K85:N86" si="23">+K4</f>
        <v>Current Year</v>
      </c>
      <c r="L85" s="199" t="str">
        <f t="shared" si="23"/>
        <v>Year 1</v>
      </c>
      <c r="M85" s="199" t="str">
        <f t="shared" si="23"/>
        <v>Year 2</v>
      </c>
      <c r="N85" s="199" t="str">
        <f t="shared" si="23"/>
        <v>Year 3</v>
      </c>
      <c r="O85" s="199" t="str">
        <f>+G85</f>
        <v>3 Year Average</v>
      </c>
      <c r="P85" s="158"/>
      <c r="Q85" s="198"/>
      <c r="R85" s="199" t="str">
        <f t="shared" ref="R85:U86" si="24">+R4</f>
        <v>Current Year</v>
      </c>
      <c r="S85" s="199" t="str">
        <f t="shared" si="24"/>
        <v>Year 1</v>
      </c>
      <c r="T85" s="199" t="str">
        <f t="shared" si="24"/>
        <v>Year 2</v>
      </c>
      <c r="U85" s="199" t="str">
        <f t="shared" si="24"/>
        <v>Year 3</v>
      </c>
      <c r="V85" s="199" t="str">
        <f>+G85</f>
        <v>3 Year Average</v>
      </c>
      <c r="W85" s="54"/>
    </row>
    <row r="86" spans="1:23" ht="13" x14ac:dyDescent="0.3">
      <c r="A86" s="3"/>
      <c r="B86" s="200" t="str">
        <f>+B5</f>
        <v>Business Revenue</v>
      </c>
      <c r="C86" s="201">
        <f t="shared" ca="1" si="22"/>
        <v>500000</v>
      </c>
      <c r="D86" s="201">
        <f t="shared" ca="1" si="22"/>
        <v>560679.61165048543</v>
      </c>
      <c r="E86" s="201">
        <f t="shared" ca="1" si="22"/>
        <v>588713.59223300975</v>
      </c>
      <c r="F86" s="201">
        <f t="shared" ca="1" si="22"/>
        <v>625128.8659793816</v>
      </c>
      <c r="G86" s="202">
        <f ca="1">AVERAGE(D86:F86)</f>
        <v>591507.35662095889</v>
      </c>
      <c r="H86" s="158"/>
      <c r="I86" s="159"/>
      <c r="J86" s="200" t="str">
        <f>+J5</f>
        <v>Business Revenue</v>
      </c>
      <c r="K86" s="201">
        <f t="shared" ca="1" si="23"/>
        <v>500000</v>
      </c>
      <c r="L86" s="201">
        <f t="shared" ca="1" si="23"/>
        <v>579687.5</v>
      </c>
      <c r="M86" s="201">
        <f t="shared" ca="1" si="23"/>
        <v>614468.75</v>
      </c>
      <c r="N86" s="201">
        <f t="shared" ca="1" si="23"/>
        <v>660362.68153526972</v>
      </c>
      <c r="O86" s="202">
        <f ca="1">AVERAGE(L86:N86)</f>
        <v>618172.9771784232</v>
      </c>
      <c r="P86" s="158"/>
      <c r="Q86" s="200" t="str">
        <f>+Q5</f>
        <v>Business Revenue</v>
      </c>
      <c r="R86" s="201">
        <f t="shared" ca="1" si="24"/>
        <v>500000</v>
      </c>
      <c r="S86" s="201">
        <f t="shared" ca="1" si="24"/>
        <v>542084.94208494201</v>
      </c>
      <c r="T86" s="201">
        <f t="shared" ca="1" si="24"/>
        <v>563768.33976833976</v>
      </c>
      <c r="U86" s="201">
        <f t="shared" ca="1" si="24"/>
        <v>591494.65156022529</v>
      </c>
      <c r="V86" s="202">
        <f ca="1">AVERAGE(S86:U86)</f>
        <v>565782.6444711691</v>
      </c>
      <c r="W86" s="54"/>
    </row>
    <row r="87" spans="1:23" ht="13" x14ac:dyDescent="0.25">
      <c r="A87" s="3"/>
      <c r="B87" s="203" t="str">
        <f>+B20</f>
        <v>Total Variable Costs</v>
      </c>
      <c r="C87" s="177">
        <f>+C20</f>
        <v>310000</v>
      </c>
      <c r="D87" s="177">
        <f ca="1">+D20</f>
        <v>338040.81440286536</v>
      </c>
      <c r="E87" s="177">
        <f ca="1">+E20</f>
        <v>346777.61806013767</v>
      </c>
      <c r="F87" s="177">
        <f ca="1">+F20</f>
        <v>383111.80062055867</v>
      </c>
      <c r="G87" s="202">
        <f ca="1">AVERAGE(D87:F87)</f>
        <v>355976.74436118727</v>
      </c>
      <c r="H87" s="158"/>
      <c r="I87" s="159"/>
      <c r="J87" s="203" t="str">
        <f>+J20</f>
        <v>Total Variable Costs</v>
      </c>
      <c r="K87" s="177">
        <f>+K20</f>
        <v>310000</v>
      </c>
      <c r="L87" s="177">
        <f ca="1">+L20</f>
        <v>347476.7736486487</v>
      </c>
      <c r="M87" s="177">
        <f ca="1">+M20</f>
        <v>354778.82179054053</v>
      </c>
      <c r="N87" s="177">
        <f ca="1">+N20</f>
        <v>393592.1777748962</v>
      </c>
      <c r="O87" s="202">
        <f ca="1">AVERAGE(L87:N87)</f>
        <v>365282.59107136185</v>
      </c>
      <c r="P87" s="158"/>
      <c r="Q87" s="203" t="str">
        <f>+Q20</f>
        <v>Total Variable Costs</v>
      </c>
      <c r="R87" s="177">
        <f>+R20</f>
        <v>310000</v>
      </c>
      <c r="S87" s="177">
        <f ca="1">+S20</f>
        <v>328744.8721042471</v>
      </c>
      <c r="T87" s="177">
        <f ca="1">+T20</f>
        <v>338829.55779440154</v>
      </c>
      <c r="U87" s="177">
        <f ca="1">+U20</f>
        <v>372755.6016203558</v>
      </c>
      <c r="V87" s="202">
        <f ca="1">AVERAGE(S87:U87)</f>
        <v>346776.67717300146</v>
      </c>
      <c r="W87" s="54"/>
    </row>
    <row r="88" spans="1:23" ht="13" x14ac:dyDescent="0.25">
      <c r="A88" s="3"/>
      <c r="B88" s="203" t="str">
        <f>+B38</f>
        <v>Total Fixed Costs</v>
      </c>
      <c r="C88" s="177">
        <f>+C38</f>
        <v>130000</v>
      </c>
      <c r="D88" s="177">
        <f ca="1">+D38</f>
        <v>133944.17475728155</v>
      </c>
      <c r="E88" s="177">
        <f ca="1">+E38</f>
        <v>135766.38349514565</v>
      </c>
      <c r="F88" s="177">
        <f ca="1">+F38</f>
        <v>136645.19080828209</v>
      </c>
      <c r="G88" s="202">
        <f ca="1">AVERAGE(D88:F88)</f>
        <v>135451.91635356974</v>
      </c>
      <c r="H88" s="158"/>
      <c r="I88" s="159"/>
      <c r="J88" s="203" t="str">
        <f>+J38</f>
        <v>Total Fixed Costs</v>
      </c>
      <c r="K88" s="177">
        <f>+K38</f>
        <v>130000</v>
      </c>
      <c r="L88" s="177">
        <f ca="1">+L38</f>
        <v>135179.6875</v>
      </c>
      <c r="M88" s="177">
        <f ca="1">+M38</f>
        <v>137068.78479003906</v>
      </c>
      <c r="N88" s="177">
        <f ca="1">+N38</f>
        <v>137022.53163487557</v>
      </c>
      <c r="O88" s="202">
        <f ca="1">AVERAGE(L88:N88)</f>
        <v>136423.66797497155</v>
      </c>
      <c r="P88" s="158"/>
      <c r="Q88" s="203" t="str">
        <f>+Q38</f>
        <v>Total Fixed Costs</v>
      </c>
      <c r="R88" s="177">
        <f>+R38</f>
        <v>130000</v>
      </c>
      <c r="S88" s="177">
        <f ca="1">+S38</f>
        <v>132735.52123552124</v>
      </c>
      <c r="T88" s="177">
        <f ca="1">+T38</f>
        <v>134510.57033411364</v>
      </c>
      <c r="U88" s="177">
        <f ca="1">+U38</f>
        <v>136353.32162619143</v>
      </c>
      <c r="V88" s="202">
        <f ca="1">AVERAGE(S88:U88)</f>
        <v>134533.13773194209</v>
      </c>
      <c r="W88" s="54"/>
    </row>
    <row r="89" spans="1:23" ht="13" x14ac:dyDescent="0.25">
      <c r="A89" s="3"/>
      <c r="B89" s="203"/>
      <c r="C89" s="177"/>
      <c r="D89" s="177"/>
      <c r="E89" s="177"/>
      <c r="F89" s="177"/>
      <c r="G89" s="204"/>
      <c r="H89" s="158"/>
      <c r="I89" s="159"/>
      <c r="J89" s="203"/>
      <c r="K89" s="177"/>
      <c r="L89" s="177"/>
      <c r="M89" s="177"/>
      <c r="N89" s="177"/>
      <c r="O89" s="204"/>
      <c r="P89" s="158"/>
      <c r="Q89" s="203"/>
      <c r="R89" s="177"/>
      <c r="S89" s="177"/>
      <c r="T89" s="177"/>
      <c r="U89" s="177"/>
      <c r="V89" s="204"/>
      <c r="W89" s="54"/>
    </row>
    <row r="90" spans="1:23" ht="13" x14ac:dyDescent="0.25">
      <c r="A90" s="3"/>
      <c r="B90" s="203" t="str">
        <f>+B43</f>
        <v>Operating Surplus</v>
      </c>
      <c r="C90" s="177">
        <f ca="1">+C43</f>
        <v>60000</v>
      </c>
      <c r="D90" s="177">
        <f ca="1">+D43</f>
        <v>88694.622490338515</v>
      </c>
      <c r="E90" s="177">
        <f ca="1">+E43</f>
        <v>106169.59067772643</v>
      </c>
      <c r="F90" s="177">
        <f ca="1">+F43</f>
        <v>105371.87455054082</v>
      </c>
      <c r="G90" s="202">
        <f ca="1">AVERAGE(D90:F90)</f>
        <v>100078.69590620192</v>
      </c>
      <c r="H90" s="158"/>
      <c r="I90" s="159"/>
      <c r="J90" s="203" t="str">
        <f>+J43</f>
        <v>Operating Surplus</v>
      </c>
      <c r="K90" s="177">
        <f ca="1">+K43</f>
        <v>60000</v>
      </c>
      <c r="L90" s="177">
        <f ca="1">+L43</f>
        <v>97031.038851351303</v>
      </c>
      <c r="M90" s="177">
        <f ca="1">+M43</f>
        <v>122621.1434194204</v>
      </c>
      <c r="N90" s="177">
        <f ca="1">+N43</f>
        <v>129747.972125498</v>
      </c>
      <c r="O90" s="202">
        <f ca="1">AVERAGE(L90:N90)</f>
        <v>116466.7181320899</v>
      </c>
      <c r="P90" s="158"/>
      <c r="Q90" s="203" t="str">
        <f>+Q43</f>
        <v>Operating Surplus</v>
      </c>
      <c r="R90" s="177">
        <f ca="1">+R43</f>
        <v>60000</v>
      </c>
      <c r="S90" s="177">
        <f ca="1">+S43</f>
        <v>80604.54874517367</v>
      </c>
      <c r="T90" s="177">
        <f ca="1">+T43</f>
        <v>90428.211639824556</v>
      </c>
      <c r="U90" s="177">
        <f ca="1">+U43</f>
        <v>82385.728313678061</v>
      </c>
      <c r="V90" s="202">
        <f ca="1">AVERAGE(S90:U90)</f>
        <v>84472.829566225424</v>
      </c>
      <c r="W90" s="54"/>
    </row>
    <row r="91" spans="1:23" ht="13" x14ac:dyDescent="0.25">
      <c r="A91" s="3"/>
      <c r="B91" s="176" t="s">
        <v>35</v>
      </c>
      <c r="C91" s="178">
        <f ca="1">+C90/C$86</f>
        <v>0.12</v>
      </c>
      <c r="D91" s="205">
        <f ca="1">+D90/D$86</f>
        <v>0.15819127474467304</v>
      </c>
      <c r="E91" s="205">
        <f ca="1">+E90/E$86</f>
        <v>0.18034166711697913</v>
      </c>
      <c r="F91" s="205">
        <f ca="1">+F90/F$86</f>
        <v>0.16856024459125882</v>
      </c>
      <c r="G91" s="205">
        <f ca="1">+G90/G$86</f>
        <v>0.16919264787831351</v>
      </c>
      <c r="H91" s="158"/>
      <c r="I91" s="159"/>
      <c r="J91" s="176" t="s">
        <v>35</v>
      </c>
      <c r="K91" s="178">
        <f ca="1">+K90/K$86</f>
        <v>0.12</v>
      </c>
      <c r="L91" s="205">
        <f ca="1">+L90/L$86</f>
        <v>0.16738508049828796</v>
      </c>
      <c r="M91" s="205">
        <f ca="1">+M90/M$86</f>
        <v>0.19955635403658917</v>
      </c>
      <c r="N91" s="205">
        <f ca="1">+N90/N$86</f>
        <v>0.19647986743261808</v>
      </c>
      <c r="O91" s="205">
        <f ca="1">+O90/O$86</f>
        <v>0.1884047385307723</v>
      </c>
      <c r="P91" s="158"/>
      <c r="Q91" s="176" t="s">
        <v>35</v>
      </c>
      <c r="R91" s="178">
        <f ca="1">+R90/R$86</f>
        <v>0.12</v>
      </c>
      <c r="S91" s="205">
        <f ca="1">+S90/S$86</f>
        <v>0.14869357638888878</v>
      </c>
      <c r="T91" s="205">
        <f ca="1">+T90/T$86</f>
        <v>0.16039959192632697</v>
      </c>
      <c r="U91" s="205">
        <f ca="1">+U90/U$86</f>
        <v>0.13928397847108789</v>
      </c>
      <c r="V91" s="205">
        <f ca="1">+V90/V$86</f>
        <v>0.14930261716525656</v>
      </c>
      <c r="W91" s="54"/>
    </row>
    <row r="92" spans="1:23" ht="13" x14ac:dyDescent="0.25">
      <c r="A92" s="3"/>
      <c r="B92" s="203" t="str">
        <f>+B46</f>
        <v>Owner Cash Flow</v>
      </c>
      <c r="C92" s="177">
        <f ca="1">+C46</f>
        <v>120000</v>
      </c>
      <c r="D92" s="177">
        <f ca="1">+D46</f>
        <v>148694.62249033854</v>
      </c>
      <c r="E92" s="177">
        <f ca="1">+E46</f>
        <v>167969.59067772643</v>
      </c>
      <c r="F92" s="177">
        <f ca="1">+F46</f>
        <v>170261.87455054082</v>
      </c>
      <c r="G92" s="202">
        <f ca="1">AVERAGE(D92:F92)</f>
        <v>162308.69590620193</v>
      </c>
      <c r="H92" s="158"/>
      <c r="I92" s="159"/>
      <c r="J92" s="203" t="str">
        <f>+J46</f>
        <v>Owner Cash Flow</v>
      </c>
      <c r="K92" s="177">
        <f ca="1">+K46</f>
        <v>120000</v>
      </c>
      <c r="L92" s="177">
        <f ca="1">+L46</f>
        <v>157031.0388513513</v>
      </c>
      <c r="M92" s="177">
        <f ca="1">+M46</f>
        <v>184421.1434194204</v>
      </c>
      <c r="N92" s="177">
        <f ca="1">+N46</f>
        <v>194637.972125498</v>
      </c>
      <c r="O92" s="202">
        <f ca="1">AVERAGE(L92:N92)</f>
        <v>178696.71813208991</v>
      </c>
      <c r="P92" s="158"/>
      <c r="Q92" s="203" t="str">
        <f>+Q46</f>
        <v>Owner Cash Flow</v>
      </c>
      <c r="R92" s="177">
        <f ca="1">+R46</f>
        <v>120000</v>
      </c>
      <c r="S92" s="177">
        <f ca="1">+S46</f>
        <v>140604.54874517367</v>
      </c>
      <c r="T92" s="177">
        <f ca="1">+T46</f>
        <v>152228.21163982456</v>
      </c>
      <c r="U92" s="177">
        <f ca="1">+U46</f>
        <v>147275.72831367806</v>
      </c>
      <c r="V92" s="202">
        <f ca="1">AVERAGE(S92:U92)</f>
        <v>146702.82956622544</v>
      </c>
      <c r="W92" s="54"/>
    </row>
    <row r="93" spans="1:23" ht="13" x14ac:dyDescent="0.25">
      <c r="A93" s="3"/>
      <c r="B93" s="176" t="s">
        <v>36</v>
      </c>
      <c r="C93" s="178">
        <f ca="1">+C92/C$86</f>
        <v>0.24</v>
      </c>
      <c r="D93" s="205">
        <f ca="1">+D92/D$86</f>
        <v>0.2652042617576601</v>
      </c>
      <c r="E93" s="205">
        <f ca="1">+E92/E$86</f>
        <v>0.28531631152019493</v>
      </c>
      <c r="F93" s="205">
        <f ca="1">+F92/F$86</f>
        <v>0.27236284199385619</v>
      </c>
      <c r="G93" s="205">
        <f ca="1">+G92/G$86</f>
        <v>0.27439844000149982</v>
      </c>
      <c r="H93" s="158"/>
      <c r="I93" s="159"/>
      <c r="J93" s="176" t="s">
        <v>36</v>
      </c>
      <c r="K93" s="178">
        <f ca="1">+K92/K$86</f>
        <v>0.24</v>
      </c>
      <c r="L93" s="205">
        <f ca="1">+L92/L$86</f>
        <v>0.27088912362497258</v>
      </c>
      <c r="M93" s="205">
        <f ca="1">+M92/M$86</f>
        <v>0.3001310374521412</v>
      </c>
      <c r="N93" s="205">
        <f ca="1">+N92/N$86</f>
        <v>0.29474405136429938</v>
      </c>
      <c r="O93" s="205">
        <f ca="1">+O92/O$86</f>
        <v>0.28907235471166948</v>
      </c>
      <c r="P93" s="158"/>
      <c r="Q93" s="176" t="s">
        <v>36</v>
      </c>
      <c r="R93" s="178">
        <f ca="1">+R92/R$86</f>
        <v>0.24</v>
      </c>
      <c r="S93" s="205">
        <f ca="1">+S92/S$86</f>
        <v>0.25937733707264948</v>
      </c>
      <c r="T93" s="205">
        <f ca="1">+T92/T$86</f>
        <v>0.27001908568043614</v>
      </c>
      <c r="U93" s="205">
        <f ca="1">+U92/U$86</f>
        <v>0.24898911245469244</v>
      </c>
      <c r="V93" s="205">
        <f ca="1">+V92/V$86</f>
        <v>0.25929185173812991</v>
      </c>
      <c r="W93" s="54"/>
    </row>
    <row r="94" spans="1:23" ht="13" x14ac:dyDescent="0.25">
      <c r="A94" s="3"/>
      <c r="B94" s="206" t="s">
        <v>37</v>
      </c>
      <c r="C94" s="201"/>
      <c r="D94" s="207"/>
      <c r="E94" s="201"/>
      <c r="F94" s="201"/>
      <c r="G94" s="204"/>
      <c r="H94" s="158"/>
      <c r="I94" s="159"/>
      <c r="J94" s="206" t="s">
        <v>37</v>
      </c>
      <c r="K94" s="201"/>
      <c r="L94" s="207"/>
      <c r="M94" s="201"/>
      <c r="N94" s="201"/>
      <c r="O94" s="204"/>
      <c r="P94" s="158"/>
      <c r="Q94" s="206" t="s">
        <v>37</v>
      </c>
      <c r="R94" s="201"/>
      <c r="S94" s="207"/>
      <c r="T94" s="201"/>
      <c r="U94" s="201"/>
      <c r="V94" s="204"/>
      <c r="W94" s="54"/>
    </row>
    <row r="95" spans="1:23" ht="13" x14ac:dyDescent="0.25">
      <c r="A95" s="3"/>
      <c r="B95" s="203" t="str">
        <f>+'Expected Results'!B50</f>
        <v>Depreciation Allowance</v>
      </c>
      <c r="C95" s="201">
        <f>+D76/D77</f>
        <v>12500</v>
      </c>
      <c r="D95" s="201">
        <f ca="1">$C95+$C95*(D$5-$C$5)/$C$5*$C$59</f>
        <v>12879.247572815533</v>
      </c>
      <c r="E95" s="201">
        <f ca="1">$C95+$C95*(E$5-$C$5)/$C$5*$C$59</f>
        <v>13054.459951456311</v>
      </c>
      <c r="F95" s="201">
        <f ca="1">$C95+$C95*(F$5-$C$5)/$C$5*$C$59</f>
        <v>13282.055412371135</v>
      </c>
      <c r="G95" s="202">
        <f ca="1">AVERAGE(D95:F95)</f>
        <v>13071.920978880991</v>
      </c>
      <c r="H95" s="158"/>
      <c r="I95" s="159"/>
      <c r="J95" s="203" t="str">
        <f>+B95</f>
        <v>Depreciation Allowance</v>
      </c>
      <c r="K95" s="201">
        <f>+L76/L77</f>
        <v>12500</v>
      </c>
      <c r="L95" s="201">
        <f ca="1">$C95+$C95*(L$5-$C$5)/$C$5*$C$59</f>
        <v>12998.046875</v>
      </c>
      <c r="M95" s="201">
        <f ca="1">$C95+$C95*(M$5-$C$5)/$C$5*$C$59</f>
        <v>13215.4296875</v>
      </c>
      <c r="N95" s="201">
        <f ca="1">$C95+$C95*(N$5-$C$5)/$C$5*$C$59</f>
        <v>13502.266759595435</v>
      </c>
      <c r="O95" s="202">
        <f ca="1">AVERAGE(L95:N95)</f>
        <v>13238.581107365144</v>
      </c>
      <c r="P95" s="158"/>
      <c r="Q95" s="203" t="str">
        <f>+B95</f>
        <v>Depreciation Allowance</v>
      </c>
      <c r="R95" s="201">
        <f>+S76/S77</f>
        <v>12500</v>
      </c>
      <c r="S95" s="201">
        <f ca="1">$C95+$C95*(S$5-$C$5)/$C$5*$C$59</f>
        <v>12763.030888030888</v>
      </c>
      <c r="T95" s="201">
        <f ca="1">$C95+$C95*(T$5-$C$5)/$C$5*$C$59</f>
        <v>12898.552123552123</v>
      </c>
      <c r="U95" s="201">
        <f ca="1">$C95+$C95*(U$5-$C$5)/$C$5*$C$59</f>
        <v>13071.841572251407</v>
      </c>
      <c r="V95" s="202">
        <f ca="1">AVERAGE(S95:U95)</f>
        <v>12911.141527944807</v>
      </c>
      <c r="W95" s="54"/>
    </row>
    <row r="96" spans="1:23" ht="13" x14ac:dyDescent="0.25">
      <c r="A96" s="3"/>
      <c r="B96" s="203" t="str">
        <f>+'Expected Results'!B51</f>
        <v>Owners External Earning Power</v>
      </c>
      <c r="C96" s="201">
        <f>+D75</f>
        <v>60000</v>
      </c>
      <c r="D96" s="207">
        <f>+C96*D$54</f>
        <v>60000</v>
      </c>
      <c r="E96" s="201">
        <f>+D96*E$54</f>
        <v>61800</v>
      </c>
      <c r="F96" s="201">
        <f>+E96*F$54</f>
        <v>64890</v>
      </c>
      <c r="G96" s="202">
        <f>AVERAGE(D96:F96)</f>
        <v>62230</v>
      </c>
      <c r="H96" s="158"/>
      <c r="I96" s="159"/>
      <c r="J96" s="203" t="str">
        <f>+B96</f>
        <v>Owners External Earning Power</v>
      </c>
      <c r="K96" s="201">
        <f>+L75</f>
        <v>60000</v>
      </c>
      <c r="L96" s="207">
        <f>+K96*L$54</f>
        <v>60000</v>
      </c>
      <c r="M96" s="201">
        <f>+L96*M$54</f>
        <v>61440</v>
      </c>
      <c r="N96" s="201">
        <f>+M96*N$54</f>
        <v>63897.600000000006</v>
      </c>
      <c r="O96" s="202">
        <f>AVERAGE(L96:N96)</f>
        <v>61779.200000000004</v>
      </c>
      <c r="P96" s="158"/>
      <c r="Q96" s="203" t="str">
        <f>+Q75</f>
        <v>Owners External Earning Power</v>
      </c>
      <c r="R96" s="201">
        <f>+S75</f>
        <v>60000</v>
      </c>
      <c r="S96" s="207">
        <f>+R96*S$54</f>
        <v>60000</v>
      </c>
      <c r="T96" s="201">
        <f>+S96*T$54</f>
        <v>62160</v>
      </c>
      <c r="U96" s="201">
        <f>+T96*U$54</f>
        <v>65889.600000000006</v>
      </c>
      <c r="V96" s="202">
        <f>AVERAGE(S96:U96)</f>
        <v>62683.200000000004</v>
      </c>
      <c r="W96" s="54"/>
    </row>
    <row r="97" spans="1:23" ht="13" x14ac:dyDescent="0.25">
      <c r="A97" s="3"/>
      <c r="B97" s="176" t="str">
        <f>+'Expected Results'!B52</f>
        <v>Business Return</v>
      </c>
      <c r="C97" s="208">
        <f ca="1">+C92-C95-C96</f>
        <v>47500</v>
      </c>
      <c r="D97" s="208">
        <f ca="1">+D92-D95-D96</f>
        <v>75815.374917523004</v>
      </c>
      <c r="E97" s="208">
        <f ca="1">+E92-E95-E96</f>
        <v>93115.130726270116</v>
      </c>
      <c r="F97" s="208">
        <f ca="1">+F92-F95-F96</f>
        <v>92089.819138169667</v>
      </c>
      <c r="G97" s="208">
        <f ca="1">AVERAGE(D97:F97)</f>
        <v>87006.774927320934</v>
      </c>
      <c r="H97" s="158"/>
      <c r="I97" s="159"/>
      <c r="J97" s="176" t="str">
        <f>+B97</f>
        <v>Business Return</v>
      </c>
      <c r="K97" s="208">
        <f ca="1">+K92-K95-K96</f>
        <v>47500</v>
      </c>
      <c r="L97" s="208">
        <f ca="1">+L92-L95-L96</f>
        <v>84032.991976351303</v>
      </c>
      <c r="M97" s="208">
        <f ca="1">+M92-M95-M96</f>
        <v>109765.7137319204</v>
      </c>
      <c r="N97" s="208">
        <f ca="1">+N92-N95-N96</f>
        <v>117238.10536590256</v>
      </c>
      <c r="O97" s="208">
        <f ca="1">AVERAGE(L97:N97)</f>
        <v>103678.93702472474</v>
      </c>
      <c r="P97" s="158"/>
      <c r="Q97" s="176" t="str">
        <f>+B97</f>
        <v>Business Return</v>
      </c>
      <c r="R97" s="208">
        <f ca="1">+R92-R95-R96</f>
        <v>47500</v>
      </c>
      <c r="S97" s="208">
        <f ca="1">+S92-S95-S96</f>
        <v>67841.517857142782</v>
      </c>
      <c r="T97" s="208">
        <f ca="1">+T92-T95-T96</f>
        <v>77169.659516272426</v>
      </c>
      <c r="U97" s="208">
        <f ca="1">+U92-U95-U96</f>
        <v>68314.286741426651</v>
      </c>
      <c r="V97" s="208">
        <f ca="1">AVERAGE(S97:U97)</f>
        <v>71108.488038280615</v>
      </c>
      <c r="W97" s="54"/>
    </row>
    <row r="98" spans="1:23" ht="13" x14ac:dyDescent="0.25">
      <c r="A98" s="3"/>
      <c r="B98" s="176" t="str">
        <f>+'Expected Results'!B53</f>
        <v>Return on Sales</v>
      </c>
      <c r="C98" s="209">
        <f ca="1">+C97/C86</f>
        <v>9.5000000000000001E-2</v>
      </c>
      <c r="D98" s="210">
        <f ca="1">+D97/D86</f>
        <v>0.13522049552389384</v>
      </c>
      <c r="E98" s="210">
        <f ca="1">+E97/E86</f>
        <v>0.15816711547814177</v>
      </c>
      <c r="F98" s="210">
        <f ca="1">+F97/F86</f>
        <v>0.14731333673720809</v>
      </c>
      <c r="G98" s="209">
        <f ca="1">+G97/G86</f>
        <v>0.14709330991985506</v>
      </c>
      <c r="H98" s="159"/>
      <c r="I98" s="159"/>
      <c r="J98" s="176" t="str">
        <f>+B98</f>
        <v>Return on Sales</v>
      </c>
      <c r="K98" s="209">
        <f ca="1">+K97/K86</f>
        <v>9.5000000000000001E-2</v>
      </c>
      <c r="L98" s="210">
        <f ca="1">+L97/L86</f>
        <v>0.14496257375974347</v>
      </c>
      <c r="M98" s="210">
        <f ca="1">+M97/M86</f>
        <v>0.17863514415000015</v>
      </c>
      <c r="N98" s="210">
        <f ca="1">+N97/N86</f>
        <v>0.17753593388005667</v>
      </c>
      <c r="O98" s="209">
        <f ca="1">+O97/O86</f>
        <v>0.1677183261842905</v>
      </c>
      <c r="P98" s="159"/>
      <c r="Q98" s="176" t="str">
        <f>+B98</f>
        <v>Return on Sales</v>
      </c>
      <c r="R98" s="209">
        <f ca="1">+R97/R86</f>
        <v>9.5000000000000001E-2</v>
      </c>
      <c r="S98" s="210">
        <f ca="1">+S97/S86</f>
        <v>0.12514923878205117</v>
      </c>
      <c r="T98" s="210">
        <f ca="1">+T97/T86</f>
        <v>0.13688186099273064</v>
      </c>
      <c r="U98" s="210">
        <f ca="1">+U97/U86</f>
        <v>0.11549434396613639</v>
      </c>
      <c r="V98" s="209">
        <f ca="1">+V97/V86</f>
        <v>0.12568163540036642</v>
      </c>
      <c r="W98" s="3"/>
    </row>
    <row r="99" spans="1:23" ht="13" x14ac:dyDescent="0.25">
      <c r="A99" s="3"/>
      <c r="B99" s="180" t="str">
        <f>+'Expected Results'!B55</f>
        <v>Return on Total Investment</v>
      </c>
      <c r="C99" s="211">
        <f ca="1">+C97/$D80</f>
        <v>0.19107707432998525</v>
      </c>
      <c r="D99" s="211">
        <f ca="1">+D97/$D80</f>
        <v>0.30498063217834193</v>
      </c>
      <c r="E99" s="211">
        <f ca="1">+E97/$D80</f>
        <v>0.3745719316848381</v>
      </c>
      <c r="F99" s="211">
        <f ca="1">+F97/$D80</f>
        <v>0.37044743613681985</v>
      </c>
      <c r="G99" s="211">
        <f ca="1">+G97/$D80</f>
        <v>0.35</v>
      </c>
      <c r="H99" s="159"/>
      <c r="I99" s="159"/>
      <c r="J99" s="180" t="str">
        <f>+B99</f>
        <v>Return on Total Investment</v>
      </c>
      <c r="K99" s="211">
        <f ca="1">+K97/$D80</f>
        <v>0.19107707432998525</v>
      </c>
      <c r="L99" s="211">
        <f ca="1">+L97/$D80</f>
        <v>0.33803743692708066</v>
      </c>
      <c r="M99" s="211">
        <f ca="1">+M97/$D80</f>
        <v>0.44155181982395869</v>
      </c>
      <c r="N99" s="211">
        <f ca="1">+N97/$D80</f>
        <v>0.47161082470120436</v>
      </c>
      <c r="O99" s="211">
        <f ca="1">+O97/$D80</f>
        <v>0.41706669381741451</v>
      </c>
      <c r="P99" s="159"/>
      <c r="Q99" s="180" t="str">
        <f>+B99</f>
        <v>Return on Total Investment</v>
      </c>
      <c r="R99" s="211">
        <f ca="1">+R97/$D80</f>
        <v>0.19107707432998525</v>
      </c>
      <c r="S99" s="211">
        <f ca="1">+S97/$D80</f>
        <v>0.27290439474206935</v>
      </c>
      <c r="T99" s="211">
        <f ca="1">+T97/$D80</f>
        <v>0.31042847931390399</v>
      </c>
      <c r="U99" s="211">
        <f ca="1">+U97/$D80</f>
        <v>0.27480619043140014</v>
      </c>
      <c r="V99" s="211">
        <f ca="1">+V97/$D80</f>
        <v>0.28604635482912449</v>
      </c>
      <c r="W99" s="3"/>
    </row>
    <row r="100" spans="1:23" ht="13" x14ac:dyDescent="0.25">
      <c r="A100" s="3"/>
      <c r="B100" s="212"/>
      <c r="C100" s="213"/>
      <c r="D100" s="214"/>
      <c r="E100" s="214"/>
      <c r="F100" s="214"/>
      <c r="G100" s="214"/>
      <c r="H100" s="159"/>
      <c r="I100" s="159"/>
      <c r="J100" s="212"/>
      <c r="K100" s="213"/>
      <c r="L100" s="214"/>
      <c r="M100" s="214"/>
      <c r="N100" s="214"/>
      <c r="O100" s="214"/>
      <c r="P100" s="159"/>
      <c r="Q100" s="212"/>
      <c r="R100" s="213"/>
      <c r="S100" s="214"/>
      <c r="T100" s="214"/>
      <c r="U100" s="214"/>
      <c r="V100" s="214"/>
      <c r="W100" s="3"/>
    </row>
    <row r="101" spans="1:23" x14ac:dyDescent="0.25">
      <c r="A101" s="3"/>
      <c r="B101" s="159"/>
      <c r="C101" s="159"/>
      <c r="D101" s="159"/>
      <c r="E101" s="159"/>
      <c r="F101" s="159"/>
      <c r="G101" s="159"/>
      <c r="H101" s="159"/>
      <c r="I101" s="159"/>
      <c r="J101" s="159"/>
      <c r="K101" s="159"/>
      <c r="L101" s="159"/>
      <c r="M101" s="159"/>
      <c r="N101" s="159"/>
      <c r="O101" s="159"/>
      <c r="P101" s="159"/>
      <c r="Q101" s="159"/>
      <c r="R101" s="159"/>
      <c r="S101" s="3"/>
      <c r="T101" s="3"/>
      <c r="U101" s="3"/>
      <c r="V101" s="3"/>
      <c r="W101" s="3"/>
    </row>
    <row r="102" spans="1:23" x14ac:dyDescent="0.25">
      <c r="A102" s="3"/>
      <c r="B102" s="159"/>
      <c r="C102" s="159"/>
      <c r="D102" s="159"/>
      <c r="E102" s="159"/>
      <c r="F102" s="159"/>
      <c r="G102" s="159"/>
      <c r="H102" s="159"/>
      <c r="I102" s="159"/>
      <c r="J102" s="159"/>
      <c r="K102" s="159"/>
      <c r="L102" s="159"/>
      <c r="M102" s="159"/>
      <c r="N102" s="159"/>
      <c r="O102" s="159"/>
      <c r="P102" s="159"/>
      <c r="Q102" s="159"/>
      <c r="R102" s="159"/>
      <c r="S102" s="3"/>
      <c r="T102" s="3"/>
      <c r="U102" s="3"/>
      <c r="V102" s="3"/>
      <c r="W102" s="3"/>
    </row>
    <row r="103" spans="1:23"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x14ac:dyDescent="0.25">
      <c r="A106" s="3"/>
      <c r="B106" s="3"/>
      <c r="C106" s="3"/>
      <c r="D106" s="3"/>
      <c r="E106" s="3"/>
      <c r="F106" s="3"/>
      <c r="G106" s="3"/>
      <c r="H106" s="3"/>
      <c r="I106" s="3"/>
      <c r="J106" s="3"/>
      <c r="K106" s="3"/>
      <c r="L106" s="3"/>
      <c r="M106" s="3"/>
      <c r="N106" s="3"/>
      <c r="O106" s="3"/>
      <c r="P106" s="3"/>
      <c r="Q106" s="3"/>
      <c r="R106" s="3"/>
      <c r="S106" s="3"/>
      <c r="T106" s="3"/>
      <c r="U106" s="3"/>
      <c r="V106" s="3"/>
      <c r="W106" s="3"/>
    </row>
  </sheetData>
  <sheetProtection algorithmName="SHA-512" hashValue="qWi0spsYTC9zBHnBmf5mr4OSebageLt/wOcUd7p8AXoZPLs7xiZZ9w1Q1Cn83ch+6dR1/6tfdXQkVOH4M6Rjqw==" saltValue="Db1JAyddCSG5Dh8Ktk+3kg==" spinCount="100000" sheet="1" objects="1" scenarios="1" selectLockedCells="1" selectUnlockedCells="1"/>
  <mergeCells count="9">
    <mergeCell ref="Q48:U48"/>
    <mergeCell ref="Q49:T49"/>
    <mergeCell ref="Q70:S70"/>
    <mergeCell ref="B49:E49"/>
    <mergeCell ref="B48:F48"/>
    <mergeCell ref="B70:D70"/>
    <mergeCell ref="J48:N48"/>
    <mergeCell ref="J49:M49"/>
    <mergeCell ref="J70:L70"/>
  </mergeCells>
  <phoneticPr fontId="0" type="noConversion"/>
  <pageMargins left="0.75" right="0.75" top="1" bottom="1" header="0.5" footer="0.5"/>
  <pageSetup orientation="portrait" horizontalDpi="360" verticalDpi="0" copies="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10</vt:i4>
      </vt:variant>
      <vt:variant>
        <vt:lpstr>Charts</vt:lpstr>
      </vt:variant>
      <vt:variant>
        <vt:i4>4</vt:i4>
      </vt:variant>
      <vt:variant>
        <vt:lpstr>Named Ranges</vt:lpstr>
      </vt:variant>
      <vt:variant>
        <vt:i4>19</vt:i4>
      </vt:variant>
    </vt:vector>
  </HeadingPairs>
  <TitlesOfParts>
    <vt:vector size="33" baseType="lpstr">
      <vt:lpstr>Welcome</vt:lpstr>
      <vt:lpstr>Input</vt:lpstr>
      <vt:lpstr>Sensitivity Analysis</vt:lpstr>
      <vt:lpstr>Valuation Analysis</vt:lpstr>
      <vt:lpstr>Expected Results</vt:lpstr>
      <vt:lpstr>Optimistic Results</vt:lpstr>
      <vt:lpstr>Pessimistic Results</vt:lpstr>
      <vt:lpstr>Instructions</vt:lpstr>
      <vt:lpstr>Worksheet</vt:lpstr>
      <vt:lpstr>scratch</vt:lpstr>
      <vt:lpstr>Forecast Revenue Chart</vt:lpstr>
      <vt:lpstr>Forecast Return Chart</vt:lpstr>
      <vt:lpstr>Operating Surplus Chart</vt:lpstr>
      <vt:lpstr>Surplus &amp; Return % Chart</vt:lpstr>
      <vt:lpstr>buyurl</vt:lpstr>
      <vt:lpstr>copy</vt:lpstr>
      <vt:lpstr>inbusname</vt:lpstr>
      <vt:lpstr>inbusrev</vt:lpstr>
      <vt:lpstr>infixcost</vt:lpstr>
      <vt:lpstr>inmonper</vt:lpstr>
      <vt:lpstr>invarcost</vt:lpstr>
      <vt:lpstr>licCode</vt:lpstr>
      <vt:lpstr>licEmail</vt:lpstr>
      <vt:lpstr>'Expected Results'!Print_Area</vt:lpstr>
      <vt:lpstr>Input!Print_Area</vt:lpstr>
      <vt:lpstr>Instructions!Print_Area</vt:lpstr>
      <vt:lpstr>'Optimistic Results'!Print_Area</vt:lpstr>
      <vt:lpstr>'Pessimistic Results'!Print_Area</vt:lpstr>
      <vt:lpstr>'Sensitivity Analysis'!Print_Area</vt:lpstr>
      <vt:lpstr>'Valuation Analysis'!Print_Area</vt:lpstr>
      <vt:lpstr>status</vt:lpstr>
      <vt:lpstr>title</vt:lpstr>
      <vt:lpstr>validTo</vt:lpstr>
    </vt:vector>
  </TitlesOfParts>
  <Manager>bizpep.com</Manager>
  <Company>bizpep</Company>
  <LinksUpToDate>false</LinksUpToDate>
  <SharedDoc>false</SharedDoc>
  <HyperlinkBase>bizpep.com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Valuation Model Excel</dc:title>
  <dc:subject>business valuation</dc:subject>
  <dc:creator>Bizpep - www.bizpep.com</dc:creator>
  <cp:keywords>business valuation model software excel template</cp:keywords>
  <dc:description>easily value any business</dc:description>
  <cp:lastModifiedBy>David Morcom</cp:lastModifiedBy>
  <cp:lastPrinted>2003-10-06T03:51:46Z</cp:lastPrinted>
  <dcterms:created xsi:type="dcterms:W3CDTF">2000-02-08T04:24:39Z</dcterms:created>
  <dcterms:modified xsi:type="dcterms:W3CDTF">2025-03-04T00:43:00Z</dcterms:modified>
  <cp:category>business valuation</cp:category>
  <cp:contentStatus>free for evaluation</cp:contentStatus>
</cp:coreProperties>
</file>